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never" codeName="ThisWorkbook" defaultThemeVersion="166925"/>
  <mc:AlternateContent xmlns:mc="http://schemas.openxmlformats.org/markup-compatibility/2006">
    <mc:Choice Requires="x15">
      <x15ac:absPath xmlns:x15ac="http://schemas.microsoft.com/office/spreadsheetml/2010/11/ac" url="https://newforestnpa-my.sharepoint.com/personal/maria_court_newforestnpa_gov_uk/Documents/Documents/"/>
    </mc:Choice>
  </mc:AlternateContent>
  <xr:revisionPtr revIDLastSave="0" documentId="8_{F781FD44-ED16-43AD-BD20-9F7A6C06AF79}" xr6:coauthVersionLast="47" xr6:coauthVersionMax="47" xr10:uidLastSave="{00000000-0000-0000-0000-000000000000}"/>
  <bookViews>
    <workbookView xWindow="-110" yWindow="-110" windowWidth="19420" windowHeight="10420" tabRatio="622" firstSheet="6" activeTab="6" xr2:uid="{82A04952-E2FF-4A89-87AE-39010027FF5F}"/>
  </bookViews>
  <sheets>
    <sheet name="Intro" sheetId="6" r:id="rId1"/>
    <sheet name="Background" sheetId="14" r:id="rId2"/>
    <sheet name="River Avon SAC" sheetId="16" r:id="rId3"/>
    <sheet name="Instructions" sheetId="17" r:id="rId4"/>
    <sheet name="Development site details" sheetId="2" r:id="rId5"/>
    <sheet name="Stage 1" sheetId="7" r:id="rId6"/>
    <sheet name="Stage 2" sheetId="8" r:id="rId7"/>
    <sheet name="Stage 3" sheetId="9" r:id="rId8"/>
    <sheet name="Stage 4" sheetId="10" r:id="rId9"/>
    <sheet name="Stage 4 (2)" sheetId="13" state="hidden" r:id="rId10"/>
    <sheet name="Lookups" sheetId="3" r:id="rId11"/>
  </sheets>
  <externalReferences>
    <externalReference r:id="rId1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2" i="7" l="1"/>
  <c r="E10" i="9"/>
  <c r="D14" i="7"/>
  <c r="E11" i="9" l="1"/>
  <c r="E12" i="9"/>
  <c r="E13" i="9"/>
  <c r="E18" i="9"/>
  <c r="E19" i="9"/>
  <c r="E20" i="9"/>
  <c r="E21" i="9"/>
  <c r="E22" i="9"/>
  <c r="E23" i="9"/>
  <c r="E24" i="9"/>
  <c r="E25" i="9"/>
  <c r="E26" i="9"/>
  <c r="O55" i="3" l="1"/>
  <c r="O65" i="3"/>
  <c r="J190" i="3" s="1"/>
  <c r="O76" i="3"/>
  <c r="O82" i="3"/>
  <c r="O87" i="3"/>
  <c r="O94" i="3"/>
  <c r="O102" i="3"/>
  <c r="O113" i="3"/>
  <c r="N113" i="3"/>
  <c r="N102" i="3"/>
  <c r="N94" i="3"/>
  <c r="N87" i="3"/>
  <c r="N82" i="3"/>
  <c r="N76" i="3"/>
  <c r="N65" i="3"/>
  <c r="I190" i="3" s="1"/>
  <c r="E17" i="9" s="1"/>
  <c r="N55" i="3"/>
  <c r="M55" i="3"/>
  <c r="M61" i="3"/>
  <c r="M65" i="3"/>
  <c r="M71" i="3"/>
  <c r="M76" i="3"/>
  <c r="M81" i="3"/>
  <c r="M82" i="3"/>
  <c r="M85" i="3"/>
  <c r="M87" i="3"/>
  <c r="M92" i="3"/>
  <c r="M94" i="3"/>
  <c r="M99" i="3"/>
  <c r="M102" i="3"/>
  <c r="M108" i="3"/>
  <c r="M113" i="3"/>
  <c r="M119" i="3"/>
  <c r="L119" i="3"/>
  <c r="L113" i="3"/>
  <c r="L108" i="3"/>
  <c r="L102" i="3"/>
  <c r="L99" i="3"/>
  <c r="L94" i="3"/>
  <c r="L92" i="3"/>
  <c r="L87" i="3"/>
  <c r="L85" i="3"/>
  <c r="L82" i="3"/>
  <c r="L81" i="3"/>
  <c r="L76" i="3"/>
  <c r="K103" i="3"/>
  <c r="L71" i="3"/>
  <c r="L65" i="3"/>
  <c r="L61" i="3"/>
  <c r="L55" i="3"/>
  <c r="H123" i="3" l="1"/>
  <c r="H124" i="3"/>
  <c r="H125" i="3"/>
  <c r="H126" i="3"/>
  <c r="H127" i="3"/>
  <c r="H128" i="3"/>
  <c r="H129" i="3"/>
  <c r="H130" i="3"/>
  <c r="H131" i="3"/>
  <c r="H132" i="3"/>
  <c r="H133" i="3"/>
  <c r="H134" i="3"/>
  <c r="H135" i="3"/>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H165" i="3"/>
  <c r="H166" i="3"/>
  <c r="H167" i="3"/>
  <c r="H168" i="3"/>
  <c r="H169" i="3"/>
  <c r="H170" i="3"/>
  <c r="H171" i="3"/>
  <c r="H172" i="3"/>
  <c r="H173" i="3"/>
  <c r="H174" i="3"/>
  <c r="H175" i="3"/>
  <c r="H176" i="3"/>
  <c r="H177" i="3"/>
  <c r="H178" i="3"/>
  <c r="H179" i="3"/>
  <c r="H180" i="3"/>
  <c r="H181" i="3"/>
  <c r="H182" i="3"/>
  <c r="H183" i="3"/>
  <c r="H184" i="3"/>
  <c r="H185" i="3"/>
  <c r="H186" i="3"/>
  <c r="H187" i="3"/>
  <c r="H188" i="3"/>
  <c r="H122" i="3"/>
  <c r="H121" i="3"/>
  <c r="H90" i="3"/>
  <c r="H91" i="3"/>
  <c r="H92" i="3"/>
  <c r="H93" i="3"/>
  <c r="H94" i="3"/>
  <c r="H95" i="3"/>
  <c r="H96" i="3"/>
  <c r="H97" i="3"/>
  <c r="H98" i="3"/>
  <c r="H99" i="3"/>
  <c r="H100" i="3"/>
  <c r="H101" i="3"/>
  <c r="H102" i="3"/>
  <c r="H103" i="3"/>
  <c r="H104" i="3"/>
  <c r="H105" i="3"/>
  <c r="H106" i="3"/>
  <c r="H107" i="3"/>
  <c r="H108" i="3"/>
  <c r="H109" i="3"/>
  <c r="H110" i="3"/>
  <c r="H111" i="3"/>
  <c r="H112" i="3"/>
  <c r="H113" i="3"/>
  <c r="H114" i="3"/>
  <c r="H115" i="3"/>
  <c r="H116" i="3"/>
  <c r="H117" i="3"/>
  <c r="H118" i="3"/>
  <c r="H119" i="3"/>
  <c r="H120" i="3"/>
  <c r="H89" i="3"/>
  <c r="H88" i="3"/>
  <c r="K88" i="3"/>
  <c r="K89" i="3"/>
  <c r="K90" i="3"/>
  <c r="K91" i="3"/>
  <c r="K92" i="3"/>
  <c r="K93" i="3"/>
  <c r="K94" i="3"/>
  <c r="K95" i="3"/>
  <c r="K96" i="3"/>
  <c r="K97" i="3"/>
  <c r="K98" i="3"/>
  <c r="K99" i="3"/>
  <c r="K100" i="3"/>
  <c r="K101" i="3"/>
  <c r="K102" i="3"/>
  <c r="K104" i="3"/>
  <c r="K105" i="3"/>
  <c r="K106" i="3"/>
  <c r="K107" i="3"/>
  <c r="K108" i="3"/>
  <c r="K109" i="3"/>
  <c r="K110" i="3"/>
  <c r="K111" i="3"/>
  <c r="K112" i="3"/>
  <c r="K113" i="3"/>
  <c r="K114" i="3"/>
  <c r="K115" i="3"/>
  <c r="K116" i="3"/>
  <c r="K117" i="3"/>
  <c r="K118" i="3"/>
  <c r="K119" i="3"/>
  <c r="K120" i="3"/>
  <c r="K121" i="3"/>
  <c r="H55" i="3"/>
  <c r="K55" i="3"/>
  <c r="H56" i="3"/>
  <c r="K56" i="3"/>
  <c r="H57" i="3"/>
  <c r="K57" i="3"/>
  <c r="H58" i="3"/>
  <c r="K58" i="3"/>
  <c r="H59" i="3"/>
  <c r="K59" i="3"/>
  <c r="H60" i="3"/>
  <c r="K60" i="3"/>
  <c r="H61" i="3"/>
  <c r="K61" i="3"/>
  <c r="H62" i="3"/>
  <c r="K62" i="3"/>
  <c r="H63" i="3"/>
  <c r="K63" i="3"/>
  <c r="H64" i="3"/>
  <c r="K64" i="3"/>
  <c r="H65" i="3"/>
  <c r="K65" i="3"/>
  <c r="H66" i="3"/>
  <c r="K66" i="3"/>
  <c r="H67" i="3"/>
  <c r="K67" i="3"/>
  <c r="H68" i="3"/>
  <c r="K68" i="3"/>
  <c r="H69" i="3"/>
  <c r="K69" i="3"/>
  <c r="H70" i="3"/>
  <c r="K70" i="3"/>
  <c r="H71" i="3"/>
  <c r="K71" i="3"/>
  <c r="H72" i="3"/>
  <c r="K72" i="3"/>
  <c r="H73" i="3"/>
  <c r="K73" i="3"/>
  <c r="H74" i="3"/>
  <c r="K74" i="3"/>
  <c r="H75" i="3"/>
  <c r="K75" i="3"/>
  <c r="H76" i="3"/>
  <c r="K76" i="3"/>
  <c r="H77" i="3"/>
  <c r="K77" i="3"/>
  <c r="H78" i="3"/>
  <c r="K78" i="3"/>
  <c r="H79" i="3"/>
  <c r="K79" i="3"/>
  <c r="H80" i="3"/>
  <c r="K80" i="3"/>
  <c r="H81" i="3"/>
  <c r="K81" i="3"/>
  <c r="H82" i="3"/>
  <c r="K82" i="3"/>
  <c r="H83" i="3"/>
  <c r="K83" i="3"/>
  <c r="H84" i="3"/>
  <c r="K84" i="3"/>
  <c r="H85" i="3"/>
  <c r="K85" i="3"/>
  <c r="H86" i="3"/>
  <c r="K86" i="3"/>
  <c r="H87" i="3"/>
  <c r="K87" i="3"/>
  <c r="E15" i="8" l="1"/>
  <c r="F16" i="8" l="1"/>
  <c r="F17" i="8"/>
  <c r="F18" i="8"/>
  <c r="F19" i="8"/>
  <c r="F20" i="8"/>
  <c r="F21" i="8"/>
  <c r="F22" i="8"/>
  <c r="F23" i="8"/>
  <c r="F24" i="8"/>
  <c r="F25" i="8"/>
  <c r="F26" i="8"/>
  <c r="F31" i="8"/>
  <c r="F15" i="8"/>
  <c r="E16" i="8"/>
  <c r="E17" i="8"/>
  <c r="E18" i="8"/>
  <c r="E19" i="8"/>
  <c r="E20" i="8"/>
  <c r="E21" i="8"/>
  <c r="E22" i="8"/>
  <c r="E23" i="8"/>
  <c r="E24" i="8"/>
  <c r="E25" i="8"/>
  <c r="E26" i="8"/>
  <c r="E31" i="8"/>
  <c r="F30" i="8"/>
  <c r="E30" i="8"/>
  <c r="J194" i="3" l="1"/>
  <c r="F27" i="8" s="1"/>
  <c r="C21" i="10" l="1"/>
  <c r="F21" i="10"/>
  <c r="F29" i="10"/>
  <c r="F22" i="10"/>
  <c r="G35" i="7"/>
  <c r="G20" i="7"/>
  <c r="C20" i="7"/>
  <c r="G10" i="7"/>
  <c r="F15" i="7"/>
  <c r="H15" i="7"/>
  <c r="G22" i="7"/>
  <c r="H14" i="7"/>
  <c r="F14" i="7"/>
  <c r="G14" i="7"/>
  <c r="G15" i="7"/>
  <c r="I35" i="7"/>
  <c r="I22" i="7"/>
  <c r="D22" i="7"/>
  <c r="D23" i="7" s="1"/>
  <c r="D26" i="7" l="1"/>
  <c r="F19" i="9"/>
  <c r="F23" i="9"/>
  <c r="J196" i="3"/>
  <c r="F29" i="8" s="1"/>
  <c r="J195" i="3"/>
  <c r="F28" i="8" s="1"/>
  <c r="I195" i="3"/>
  <c r="I196" i="3"/>
  <c r="I194" i="3"/>
  <c r="D15" i="7"/>
  <c r="H35" i="7" s="1"/>
  <c r="H196" i="3"/>
  <c r="H195" i="3"/>
  <c r="H194" i="3"/>
  <c r="H193" i="3"/>
  <c r="H192" i="3"/>
  <c r="H191" i="3"/>
  <c r="H190" i="3"/>
  <c r="H189" i="3"/>
  <c r="E27" i="8" l="1"/>
  <c r="E14" i="9"/>
  <c r="E28" i="8"/>
  <c r="E15" i="9"/>
  <c r="E29" i="8"/>
  <c r="E16" i="9"/>
  <c r="D32" i="7"/>
  <c r="F11" i="9"/>
  <c r="F10" i="9"/>
  <c r="F12" i="9"/>
  <c r="F15" i="9"/>
  <c r="F26" i="9"/>
  <c r="F22" i="9"/>
  <c r="F18" i="9"/>
  <c r="F14" i="9"/>
  <c r="F25" i="9"/>
  <c r="F21" i="9"/>
  <c r="F13" i="9"/>
  <c r="F24" i="9"/>
  <c r="F20" i="9"/>
  <c r="F16" i="9"/>
  <c r="E27" i="9" l="1"/>
  <c r="G22" i="10" s="1"/>
  <c r="F17" i="9"/>
  <c r="F27" i="9" s="1"/>
  <c r="F32" i="8"/>
  <c r="D27" i="7"/>
  <c r="D33" i="7"/>
  <c r="E32" i="8"/>
  <c r="G28" i="10" l="1"/>
  <c r="D11" i="10"/>
  <c r="D17" i="10"/>
  <c r="D34" i="7"/>
  <c r="D35" i="7" s="1"/>
  <c r="D28" i="7"/>
  <c r="C16" i="13"/>
  <c r="C27" i="13"/>
  <c r="D16" i="10" l="1"/>
  <c r="D18" i="10" s="1"/>
  <c r="D19" i="10" s="1"/>
  <c r="D28" i="10" s="1"/>
  <c r="C15" i="13"/>
  <c r="C17" i="13" s="1"/>
  <c r="C18" i="13" s="1"/>
  <c r="F29" i="13" s="1"/>
  <c r="D27" i="9" l="1"/>
  <c r="D32" i="8"/>
  <c r="D29" i="7"/>
  <c r="D10" i="10" l="1"/>
  <c r="D12" i="10" s="1"/>
  <c r="D13" i="10" s="1"/>
  <c r="D22" i="10" s="1"/>
  <c r="C24" i="13"/>
  <c r="C30" i="13" s="1"/>
  <c r="C33" i="13" s="1"/>
  <c r="H11" i="13" l="1"/>
  <c r="F24" i="13"/>
</calcChain>
</file>

<file path=xl/sharedStrings.xml><?xml version="1.0" encoding="utf-8"?>
<sst xmlns="http://schemas.openxmlformats.org/spreadsheetml/2006/main" count="915" uniqueCount="283">
  <si>
    <t>Background</t>
  </si>
  <si>
    <t xml:space="preserve">There have been a series of court cases in recent years relating to how new plans or projects interact with the Habitats Regulations process where there are existing high levels of background nutrients. These decisions have led Natural England to review its advice on water quality effects on Habitats sites.  </t>
  </si>
  <si>
    <t xml:space="preserve">The additional nutrient load from the increase in wastewater and/or the change in the land use of the development land created by a new residential development can create an impact pathway for potential negative effects on Habitats sites that are already suffering from problems related to nutrient loading. This impact pathway is shown diagrammatically in Figure 1.  </t>
  </si>
  <si>
    <t xml:space="preserve">Habitats Regulations Assessments (HRAs) of new residential developments need to consider whether nutrient loading will result in ‘Likely Significant Effects’ (LSE) on a Habitats site.  If an HRA finds LSE due to nutrient loading,  the Appropriate Assessment will need to consider whether this nutrient load needs to be mitigated in order to remove adverse effects on the Habitats site.  </t>
  </si>
  <si>
    <t xml:space="preserve">The first step in an HRA involving nutrient neutrality is understanding both whether a residential development will need mitigation to achieve nutrient neutrality and, if so, the amount of nutrients that require mitigating on an annual basis.  In order to understand the amount of nutrients a new residential development will create, a nutrient budget for the development is required.  </t>
  </si>
  <si>
    <r>
      <t>This tool provides a step-by-step approach to calculating the nutrient budget for a new residential development.  Before a nutrient budget can be completed using the methodology, certain site-specific details for the Habitats Site in question need to be determined.  The required details for each stage of the nutrient budget methodology are shown in the instructions tab, with an associated guidance document that informs users of this calculator how to generate certain inputs to the calculator.</t>
    </r>
    <r>
      <rPr>
        <sz val="12"/>
        <color rgb="FF000000"/>
        <rFont val="Arial"/>
        <family val="2"/>
      </rPr>
      <t xml:space="preserve"> </t>
    </r>
  </si>
  <si>
    <t>River Avon Special Area of Conservation (SAC)</t>
  </si>
  <si>
    <t>The River Avon SAC is a Habitats site with water pollution and eutrophication considered a threat to its condition.</t>
  </si>
  <si>
    <t>The River Avon and its tributaries (the Nadder, Wylye, and the Bourne) are chalk rivers flowing through narrow chalk valleys that converge at Salisbury. Below Salisbury the Avon is a large river flowing over a wide floodplain. The river become more branched south of Ringwood as it flows through Hampshire to reach the estuary at Christchurch in Dorset</t>
  </si>
  <si>
    <t>The river supports over 180 species of plants including water crowfoot and starworts that grow in clumps on the riverbed. This diverse aquatic plant community supports an extremely rich invertebrate life including mayfly and snails that in turn support species such as Atlantic salmon, bullhead, and brook and sea lamprey. Adjacent and linked wetland on the floodplain comprises wet swamp and fen providing habitat for the Desmoulin’s whorl snail.</t>
  </si>
  <si>
    <t xml:space="preserve">Increased levels of nitrogen and phosphorous entering aquatic environments via surface water and groundwater can severely threaten these sensitive habitats and species within the SAC. The elevated levels of nutrients can cause eutrophication, leading to algal blooms which disrupt normal ecosystem function and cause major changes in the aquatic community. These algal blooms can result in reduced levels of oxygen within the water, which in turn can lead to the death of many aquatic organisms including invertebrates and fish. </t>
  </si>
  <si>
    <t>More detailed information on the qualifying features of the SAC and details of water quality data highlighting the current nutrient problems in the river are available in the Natural England River Avon SAC evidence summary.</t>
  </si>
  <si>
    <t>Instructions</t>
  </si>
  <si>
    <t>The nutrient budget for a site is calculated in four stages, with each stage implemented in the following worksheets.</t>
  </si>
  <si>
    <t>1. General tips:</t>
  </si>
  <si>
    <t xml:space="preserve">Key: </t>
  </si>
  <si>
    <t>Values to be entered by the user</t>
  </si>
  <si>
    <t>Fixed or calculated values</t>
  </si>
  <si>
    <t>Lookup tables</t>
  </si>
  <si>
    <t>When a cell is selected, instructions are shown on how to fill out the cell:</t>
  </si>
  <si>
    <r>
      <t>It is advisable to retain a blank copy of this workbook and "Save as" a new copy each time you calculate a budget, in case of any mistakes in data inputs or to ease calculation of new nutrient budgets .</t>
    </r>
    <r>
      <rPr>
        <b/>
        <sz val="11"/>
        <color rgb="FF000000"/>
        <rFont val="Arial"/>
        <family val="2"/>
      </rPr>
      <t xml:space="preserve"> </t>
    </r>
  </si>
  <si>
    <t xml:space="preserve">Note: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</si>
  <si>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If editing any values in this tool, you must make sure there is a sufficient evidence base to justify these changes and that the new inputs are selected in accordance with the precautionary principle.  </t>
  </si>
  <si>
    <t>2. Stage specific instructions:</t>
  </si>
  <si>
    <t>2.1 Stage 1: calculate the new nutrient load associated with the additional wastewater:</t>
  </si>
  <si>
    <t xml:space="preserve">In this section the user will need to enter: </t>
  </si>
  <si>
    <t>The date of first occupancy. This is because some wastewater treatment works (WwTW) may be due an upgrade in 2025 which will change the nutrient concentration permit values. This will be shown through two values for the permits and nutrients load from before and after the upgrade.</t>
  </si>
  <si>
    <t>The average occupancy rate of the development will need to be entered. The default setting is the national occupancy rate of 2.4 people per dwelling/unit. Only change this value if there is sufficient evidence that the development will be different to the national average.</t>
  </si>
  <si>
    <t>The number of dwellings/units that will be in the development at the time of completion.</t>
  </si>
  <si>
    <t>The receiving WwTW that the development will drain to. If it is uncertain what WwTW the site will drain to, please find this information from your sewerage company before completing the calculator. If it is not feasable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</si>
  <si>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2.2 Stage 2 - calculate the annual nutrient load from existing (pre development) land use on the development site:</t>
  </si>
  <si>
    <t>In this section some environmental information about the development will need to be entered as well as the type(s) and area(s) of landcover on the development site. Only landcovers for the land that is being altered by the development should be entered.</t>
  </si>
  <si>
    <t>The drop down list of landcover types contains seven agricultural landcover types and eight different non-agricultural landcover types that may be present in the development. Please find out what landcover types are within the development before completing this tool. If there is a landcover within the development area that is not in the list please select the most similar landcover type.</t>
  </si>
  <si>
    <t>The instructions at the bottom of this page detail how to find the environmental information for the site if it is unknown.</t>
  </si>
  <si>
    <t>2.3 Stage 3 - calculate the annual nutrient load from new (post-development) land use on the development site:</t>
  </si>
  <si>
    <t>In this section the user will need to select the type(s) and area(s) of the landcover present on the new site.</t>
  </si>
  <si>
    <t>The drop down list of landcover types contains eight different landcover types that may be present on the development site. Please find out what landcover types will be within the development site before completing this tool. If there is a landcover within the development site that is not in the list please select the most similar landcover type.</t>
  </si>
  <si>
    <t>The guidance document that accompanies this calculator breaks down what is included in each landcover type.</t>
  </si>
  <si>
    <t>2.4 Stage 4 - calculate the net change in nutrient loading for the site and the final annual nutrient budget for the development site:</t>
  </si>
  <si>
    <t>This final stage automatically calculates the results from Stage 1-3 using the equation below.</t>
  </si>
  <si>
    <t>The value(s) shown are how much nutrient mitigation is required in kilograms per year to achieve nutrient neutrality.</t>
  </si>
  <si>
    <t>If there are two values due to changing permits, the calculator will show the total amount of nutrient mitigation that is needed before and after the changing permit date.</t>
  </si>
  <si>
    <t>2.5 The equation used to calculate the nutrient budget:</t>
  </si>
  <si>
    <t>3. Site specific data collection instructions:</t>
  </si>
  <si>
    <t>3.1 Instructions for finding the Operational Catchment that the development is situated within:</t>
  </si>
  <si>
    <t xml:space="preserve">a) Go to this link:  </t>
  </si>
  <si>
    <t xml:space="preserve">http://environment.data.gov.uk/catchment-planning/ </t>
  </si>
  <si>
    <t>b) Search the location by place name, postcode etc. This will give a high-level view of the area. Use the zoom feature to find the exact location of the development.</t>
  </si>
  <si>
    <t>c) Click on the light blue area on the map in which the development is located. This will bring the user to the Operational Catchment page</t>
  </si>
  <si>
    <t>d) Make note of the name of the Operational Catchment and select it from the dropdown list in the relevant cell.</t>
  </si>
  <si>
    <t>3.2 Instructions for finding the drainage associated with the predominant soil type within development site:</t>
  </si>
  <si>
    <t xml:space="preserve">a) Go to this link:   </t>
  </si>
  <si>
    <t xml:space="preserve">http://www.landis.org.uk/soilscapes/#.  </t>
  </si>
  <si>
    <t>b) Find the site location on the map by using the search bar on the right side of the map in the 'Search' tab. Searching an area will generate a pop up window in which you can view the soil information by clicking 'View soil information'. If this is not an option then click on the relevant soil type on the map and click on the 'Soil information' tab on the right hand side of the map, below the 'Search' tab.</t>
  </si>
  <si>
    <t>c) The 'Soil drainage type' value can be found In the 'Soil information' under the title 'Drainage:'</t>
  </si>
  <si>
    <t>d) Make a note of this soil type and select the relevant soil drainage type from the drop down list in the relevant cell.</t>
  </si>
  <si>
    <t>3.3 Instructions for finding the annual average rainfall that the development will receive using the National River Flow Archive:</t>
  </si>
  <si>
    <t>https://nrfa.ceh.ac.uk/data/station/spatial/43021</t>
  </si>
  <si>
    <t>b) This link will bring the user to the Avon at Knapp Mill flow gauge catchment information page.</t>
  </si>
  <si>
    <t>c) Click on the dropdown list next to the title 'Select spatial data type to view:' on the left of the map and select 'Rainfall'. Next select the Legend tab.</t>
  </si>
  <si>
    <t>d) Zoom in on the map to find the location of the development and find the corresponding rainfall range from the Legend.</t>
  </si>
  <si>
    <t xml:space="preserve">e) Select the rainfall band from the drop down list in the table.  If your rainfall band is not in the drop down list, please select the closest band shown in the list.                               </t>
  </si>
  <si>
    <t>3.4 Instructions for finding out whether the development is in a Nitrate Vulnerable Zone (NVZ):</t>
  </si>
  <si>
    <t>a) Go to this link:</t>
  </si>
  <si>
    <t>http://mapapps2.bgs.ac.uk/ukso/home.html?layers=NVZEng</t>
  </si>
  <si>
    <t>b) Enter the location of the development site in the search bar.</t>
  </si>
  <si>
    <t>c) Once the area has been located, click on the map where the development is located to find out if is within an NVZ.</t>
  </si>
  <si>
    <t xml:space="preserve">d) Make note of this and select this in the dropdown list. </t>
  </si>
  <si>
    <t>Development site details</t>
  </si>
  <si>
    <r>
      <t xml:space="preserve">Date </t>
    </r>
    <r>
      <rPr>
        <sz val="11"/>
        <rFont val="Calibri"/>
        <family val="2"/>
        <scheme val="minor"/>
      </rPr>
      <t>(dd/mm/yyyy)</t>
    </r>
    <r>
      <rPr>
        <b/>
        <sz val="11"/>
        <rFont val="Calibri"/>
        <family val="2"/>
        <scheme val="minor"/>
      </rPr>
      <t>:</t>
    </r>
  </si>
  <si>
    <t>Site Name:</t>
  </si>
  <si>
    <t>Planning Application number:</t>
  </si>
  <si>
    <t>Site Address:</t>
  </si>
  <si>
    <t>Stage 1</t>
  </si>
  <si>
    <t>User Inputs</t>
  </si>
  <si>
    <t>Date of first occupancy:</t>
  </si>
  <si>
    <t>Average occupancy rate:</t>
  </si>
  <si>
    <r>
      <t xml:space="preserve">Water usage </t>
    </r>
    <r>
      <rPr>
        <sz val="11"/>
        <rFont val="Arial"/>
        <family val="2"/>
      </rPr>
      <t>(litres/person/day)</t>
    </r>
    <r>
      <rPr>
        <b/>
        <sz val="11"/>
        <rFont val="Arial"/>
        <family val="2"/>
      </rPr>
      <t>:</t>
    </r>
  </si>
  <si>
    <r>
      <t xml:space="preserve">Development Proposal </t>
    </r>
    <r>
      <rPr>
        <sz val="11"/>
        <rFont val="Arial"/>
        <family val="2"/>
      </rPr>
      <t>(dwellings/units)</t>
    </r>
    <r>
      <rPr>
        <b/>
        <sz val="11"/>
        <rFont val="Arial"/>
        <family val="2"/>
      </rPr>
      <t>:</t>
    </r>
  </si>
  <si>
    <t>Wastewater treatment works:</t>
  </si>
  <si>
    <r>
      <t xml:space="preserve">Wastewater treatment works P permit </t>
    </r>
    <r>
      <rPr>
        <sz val="11"/>
        <rFont val="Arial"/>
        <family val="2"/>
      </rPr>
      <t>(mg TP/litre)</t>
    </r>
    <r>
      <rPr>
        <b/>
        <sz val="11"/>
        <rFont val="Arial"/>
        <family val="2"/>
      </rPr>
      <t>:</t>
    </r>
  </si>
  <si>
    <r>
      <t xml:space="preserve">Wastewater treatment works N permit </t>
    </r>
    <r>
      <rPr>
        <sz val="11"/>
        <rFont val="Arial"/>
        <family val="2"/>
      </rPr>
      <t>(mg TN/litre)</t>
    </r>
    <r>
      <rPr>
        <b/>
        <sz val="11"/>
        <rFont val="Arial"/>
        <family val="2"/>
      </rPr>
      <t>:</t>
    </r>
  </si>
  <si>
    <t>Stage 1 Calculated Loading</t>
  </si>
  <si>
    <t>AND($C$9&lt;DATE(2025,1,1),OR((VLOOKUP($C$13,Lookups!$A$9:$E$14,2,FALSE))&gt;(VLOOKUP($C$13,Lookups!$A$9:$E$14,4,FALSE)),(VLOOKUP($C$13,Lookups!$A$9:$E$14,3,FALSE))&gt;(VLOOKUP($C$13,Lookups!$A$9:$E$14,5,FALSE))))</t>
  </si>
  <si>
    <t>Additional population</t>
  </si>
  <si>
    <t>people</t>
  </si>
  <si>
    <t>Wastewater by development</t>
  </si>
  <si>
    <t>litres/day</t>
  </si>
  <si>
    <t>TP discharge from WwTW</t>
  </si>
  <si>
    <t>mg TP/day</t>
  </si>
  <si>
    <t>Convert to kg/TP/d</t>
  </si>
  <si>
    <t>kg TP/day</t>
  </si>
  <si>
    <t>Convert to kg/TP/yr</t>
  </si>
  <si>
    <t>kg TP/yr</t>
  </si>
  <si>
    <t>Annual wastewater TP load</t>
  </si>
  <si>
    <t>TN discharge from WwTW</t>
  </si>
  <si>
    <t>mg TN/day</t>
  </si>
  <si>
    <t>Convert to kg/TN/d</t>
  </si>
  <si>
    <t>kg TN/day</t>
  </si>
  <si>
    <t>Convert to kg/TN/yr</t>
  </si>
  <si>
    <t>kg TN/yr</t>
  </si>
  <si>
    <t>Annual wastewater TN load</t>
  </si>
  <si>
    <t>Stage 2</t>
  </si>
  <si>
    <t>Catchment:</t>
  </si>
  <si>
    <t>Soil drainage type:</t>
  </si>
  <si>
    <r>
      <t xml:space="preserve">Annual average rainfall </t>
    </r>
    <r>
      <rPr>
        <sz val="11"/>
        <rFont val="Arial"/>
        <family val="2"/>
      </rPr>
      <t>(mm)</t>
    </r>
    <r>
      <rPr>
        <b/>
        <sz val="11"/>
        <rFont val="Arial"/>
        <family val="2"/>
      </rPr>
      <t>:</t>
    </r>
  </si>
  <si>
    <t>Within Nitrate Vulnerable Zone (NVZ):</t>
  </si>
  <si>
    <t>Existing land use type(s)</t>
  </si>
  <si>
    <r>
      <t xml:space="preserve">Area </t>
    </r>
    <r>
      <rPr>
        <sz val="11"/>
        <color theme="1"/>
        <rFont val="Arial"/>
        <family val="2"/>
      </rPr>
      <t>(ha)</t>
    </r>
  </si>
  <si>
    <r>
      <t xml:space="preserve">Annual phosphorus nutrient export 
</t>
    </r>
    <r>
      <rPr>
        <sz val="11"/>
        <color theme="1"/>
        <rFont val="Arial"/>
        <family val="2"/>
      </rPr>
      <t>(kg TP)</t>
    </r>
  </si>
  <si>
    <r>
      <t xml:space="preserve">Annual nitrogen nutrient export 
</t>
    </r>
    <r>
      <rPr>
        <sz val="11"/>
        <color theme="1"/>
        <rFont val="Arial"/>
        <family val="2"/>
      </rPr>
      <t>(kg TN)</t>
    </r>
  </si>
  <si>
    <t>Total:</t>
  </si>
  <si>
    <t>Stage 3</t>
  </si>
  <si>
    <t>New land use type(s)</t>
  </si>
  <si>
    <r>
      <t xml:space="preserve">Annual nitrogen nutrient export
</t>
    </r>
    <r>
      <rPr>
        <sz val="11"/>
        <color theme="1"/>
        <rFont val="Arial"/>
        <family val="2"/>
      </rPr>
      <t>(kg TN)</t>
    </r>
  </si>
  <si>
    <t>Stage 4</t>
  </si>
  <si>
    <t>Calculated Outputs</t>
  </si>
  <si>
    <t>P loading to WwTW:</t>
  </si>
  <si>
    <t>Net land use P change:</t>
  </si>
  <si>
    <t>P budget:</t>
  </si>
  <si>
    <t>P budget + 20% buffer:</t>
  </si>
  <si>
    <t>N loading to WwTW:</t>
  </si>
  <si>
    <t>Net land use N change:</t>
  </si>
  <si>
    <t>N budget:</t>
  </si>
  <si>
    <t>N budget + 20% buffer:</t>
  </si>
  <si>
    <t>The total annual phosphorus load to mitigate is:</t>
  </si>
  <si>
    <t>The total annual nitrogen load to mitigate is:</t>
  </si>
  <si>
    <t>Your final phosphorus budget is:</t>
  </si>
  <si>
    <t>have pop up message if negative that says soemthing like "No P to mitigate</t>
  </si>
  <si>
    <t xml:space="preserve">If positive have message similar to the right </t>
  </si>
  <si>
    <t>The total amount of nitrogen to mitigate is:</t>
  </si>
  <si>
    <t>Look Up Tables</t>
  </si>
  <si>
    <t>Table 1: Stage 1 WwTW lookup</t>
  </si>
  <si>
    <t>Discharge Site Name</t>
  </si>
  <si>
    <t>Phosphorus, Total as P (mg/l)</t>
  </si>
  <si>
    <t>Nitrogen, Total as N (mg/l)</t>
  </si>
  <si>
    <t>Phosphorus, Total as P (mg/l), permit post 2025</t>
  </si>
  <si>
    <t>Nitrogen, Total as N (mg/l), permit post 2025</t>
  </si>
  <si>
    <t>All Cannings WRC</t>
  </si>
  <si>
    <t>Amesbury STW</t>
  </si>
  <si>
    <t>Barford St Martin WRC</t>
  </si>
  <si>
    <t>Berwick St.James</t>
  </si>
  <si>
    <t>Bishopstone</t>
  </si>
  <si>
    <t>Chitterne WwTW</t>
  </si>
  <si>
    <t>Christchurch STW</t>
  </si>
  <si>
    <t>Collingbourne Ducis</t>
  </si>
  <si>
    <t>Crockerton STW</t>
  </si>
  <si>
    <t>Downton STW</t>
  </si>
  <si>
    <t>East Knoyle WRC</t>
  </si>
  <si>
    <t>Etchilhampton</t>
  </si>
  <si>
    <t>Everleigh WwTW</t>
  </si>
  <si>
    <t>Fordingbridge WRC</t>
  </si>
  <si>
    <t>Fovant WRC</t>
  </si>
  <si>
    <t>Gorley STW</t>
  </si>
  <si>
    <t>Great Wishford WRC</t>
  </si>
  <si>
    <t>Hindon WwTW</t>
  </si>
  <si>
    <t>Hurdcott WwTW</t>
  </si>
  <si>
    <t>Maiden Bradley WwTW</t>
  </si>
  <si>
    <t>Marden STW</t>
  </si>
  <si>
    <t>Matchams Close WwTW</t>
  </si>
  <si>
    <t>Monkton Deverill WRC</t>
  </si>
  <si>
    <t>Netheravon STW</t>
  </si>
  <si>
    <t>Pewsey WwTW</t>
  </si>
  <si>
    <t>Ratfyn STW</t>
  </si>
  <si>
    <t>Ringwood STW</t>
  </si>
  <si>
    <t>Salisbury (Petersfinger)</t>
  </si>
  <si>
    <t>Semley</t>
  </si>
  <si>
    <t>Shipton Bellinger WwTW</t>
  </si>
  <si>
    <t>Shrewton WRC</t>
  </si>
  <si>
    <t>Stanton St Bernard WRC</t>
  </si>
  <si>
    <t>Tidworth Garrison WwTW</t>
  </si>
  <si>
    <t>Tilshead WwTW</t>
  </si>
  <si>
    <t>Tisbury STW</t>
  </si>
  <si>
    <t>Upavon STW</t>
  </si>
  <si>
    <t>Warminster WwTW</t>
  </si>
  <si>
    <t>Wedhampton</t>
  </si>
  <si>
    <t>Whitsbury WwTW</t>
  </si>
  <si>
    <t>Woodgreen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</si>
  <si>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</si>
  <si>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</si>
  <si>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</si>
  <si>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</si>
  <si>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</si>
  <si>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</si>
  <si>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</si>
  <si>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</si>
  <si>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</si>
  <si>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</si>
  <si>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</si>
  <si>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Phosphorus export coefficient</t>
  </si>
  <si>
    <t>Nitrogen export coefficient</t>
  </si>
  <si>
    <t>Farm Lookup</t>
  </si>
  <si>
    <t>Mean P export of farm type and climate combination</t>
  </si>
  <si>
    <t>Mean N export of farm type and climate combination</t>
  </si>
  <si>
    <t>Mean P export of farm type</t>
  </si>
  <si>
    <t>Mean N export of farm type</t>
  </si>
  <si>
    <t>Avon Hampshire</t>
  </si>
  <si>
    <t>Cereals</t>
  </si>
  <si>
    <t>700to900</t>
  </si>
  <si>
    <t>FreeDrain</t>
  </si>
  <si>
    <t>DrainedAr</t>
  </si>
  <si>
    <t>DrainedArGr</t>
  </si>
  <si>
    <t>900to1200</t>
  </si>
  <si>
    <t>General</t>
  </si>
  <si>
    <t>Horticulture</t>
  </si>
  <si>
    <t>Pig</t>
  </si>
  <si>
    <t>Poultry</t>
  </si>
  <si>
    <t>Dairy</t>
  </si>
  <si>
    <t>Lowland</t>
  </si>
  <si>
    <t>Mixed</t>
  </si>
  <si>
    <t>-</t>
  </si>
  <si>
    <t>Greenspace</t>
  </si>
  <si>
    <t>Community food growing</t>
  </si>
  <si>
    <t>Woodland</t>
  </si>
  <si>
    <t>Shrub</t>
  </si>
  <si>
    <t>Water</t>
  </si>
  <si>
    <t>Residential urban land</t>
  </si>
  <si>
    <r>
      <t>Commercial/</t>
    </r>
    <r>
      <rPr>
        <i/>
        <sz val="11"/>
        <color theme="1"/>
        <rFont val="Segoe UI"/>
        <family val="2"/>
      </rPr>
      <t>i</t>
    </r>
    <r>
      <rPr>
        <sz val="11"/>
        <color theme="1"/>
        <rFont val="Segoe UI"/>
        <family val="2"/>
      </rPr>
      <t>ndustrial urban land</t>
    </r>
  </si>
  <si>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</si>
  <si>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</si>
  <si>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</si>
  <si>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</si>
  <si>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</si>
  <si>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</si>
  <si>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</si>
  <si>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</si>
  <si>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</si>
  <si>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</si>
  <si>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</si>
  <si>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</si>
  <si>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</si>
  <si>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</si>
  <si>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</si>
  <si>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</si>
  <si>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</si>
  <si>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</si>
  <si>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</si>
  <si>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600to700</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</si>
  <si>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</si>
  <si>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</si>
  <si>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</si>
  <si>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</si>
  <si>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</si>
  <si>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</si>
  <si>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</si>
  <si>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</si>
  <si>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</si>
  <si>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</si>
  <si>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</si>
  <si>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</si>
  <si>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</si>
  <si>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</si>
  <si>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</si>
  <si>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Over1500</t>
  </si>
  <si>
    <t>2,000.1 - 2,400</t>
  </si>
  <si>
    <t>2,400.1 - 3,000</t>
  </si>
  <si>
    <t>3,000.1 - 4,000</t>
  </si>
  <si>
    <t>4,000.1 - 5,500</t>
  </si>
  <si>
    <t>Table 4: Stage 2 and 3 Catchment Lookup</t>
  </si>
  <si>
    <t>Table 7: Stage 2 and 3 Landcovers</t>
  </si>
  <si>
    <t>Table 8: Stage 2 and 3 Landcover lookup</t>
  </si>
  <si>
    <t>Operational Catchment</t>
  </si>
  <si>
    <t>Farmscoper equivalent</t>
  </si>
  <si>
    <t>All Possible Landcover Types</t>
  </si>
  <si>
    <t>Avon Specific Landcover Types</t>
  </si>
  <si>
    <t>Table 5: Stage 2 and 3 Soil Drainage Lookup</t>
  </si>
  <si>
    <t>Soilscape drainage term</t>
  </si>
  <si>
    <t>Farmscoper term</t>
  </si>
  <si>
    <t>Definition</t>
  </si>
  <si>
    <t>Freely draining</t>
  </si>
  <si>
    <t>Free Draining</t>
  </si>
  <si>
    <t>Slightly impeded drainage</t>
  </si>
  <si>
    <t>Drained for arable</t>
  </si>
  <si>
    <t>LFA</t>
  </si>
  <si>
    <t>Impeded drainage</t>
  </si>
  <si>
    <t>Drained for arable and grassland</t>
  </si>
  <si>
    <t>Variable</t>
  </si>
  <si>
    <t>Surface Wetness</t>
  </si>
  <si>
    <t>Naturally wet</t>
  </si>
  <si>
    <t>Table 6: Stage 2 and 3 NVZ Lookup</t>
  </si>
  <si>
    <r>
      <t>Commercial/</t>
    </r>
    <r>
      <rPr>
        <i/>
        <sz val="11"/>
        <color theme="1"/>
        <rFont val="Arial"/>
        <family val="2"/>
      </rPr>
      <t>i</t>
    </r>
    <r>
      <rPr>
        <sz val="11"/>
        <color theme="1"/>
        <rFont val="Arial"/>
        <family val="2"/>
      </rPr>
      <t>ndustrial urban land</t>
    </r>
  </si>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</sst>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sz val="11"/>
      <name val="Calibri"/>
      <family val="2"/>
      <scheme val="minor"/>
    </font>
    <font>
      <u/>
      <sz val="11"/>
      <color theme="10"/>
      <name val="Calibri"/>
      <family val="2"/>
      <scheme val="minor"/>
    </font>
    <font>
      <sz val="11"/>
      <color theme="1"/>
      <name val="Segoe UI"/>
      <family val="2"/>
    </font>
    <font>
      <sz val="11"/>
      <color rgb="FF000000"/>
      <name val="Segoe UI"/>
      <family val="2"/>
    </font>
    <font>
      <i/>
      <sz val="11"/>
      <color theme="1"/>
      <name val="Segoe UI"/>
      <family val="2"/>
    </font>
    <font>
      <sz val="11"/>
      <color theme="1"/>
      <name val="Gill Sans MT"/>
      <family val="2"/>
    </font>
    <font>
      <b/>
      <sz val="11"/>
      <color theme="0"/>
      <name val="Gill Sans MT"/>
      <family val="2"/>
    </font>
    <font>
      <b/>
      <sz val="11"/>
      <color theme="1"/>
      <name val="Gill Sans MT"/>
      <family val="2"/>
    </font>
    <font>
      <b/>
      <sz val="11"/>
      <color theme="1"/>
      <name val="Calibri"/>
      <family val="2"/>
      <scheme val="minor"/>
    </font>
    <font>
      <sz val="11"/>
      <name val="Gill Sans MT"/>
      <family val="2"/>
    </font>
    <font>
      <b/>
      <sz val="11"/>
      <color theme="1"/>
      <name val="Arial"/>
      <family val="2"/>
    </font>
    <font>
      <b/>
      <sz val="11"/>
      <name val="Arial"/>
      <family val="2"/>
    </font>
    <font>
      <sz val="11"/>
      <name val="Arial"/>
      <family val="2"/>
    </font>
    <font>
      <sz val="11"/>
      <color theme="0"/>
      <name val="Gill Sans MT"/>
      <family val="2"/>
    </font>
    <font>
      <sz val="11"/>
      <color theme="1"/>
      <name val="Arial"/>
      <family val="2"/>
    </font>
    <font>
      <sz val="11"/>
      <color rgb="FF000000"/>
      <name val="Arial"/>
      <family val="2"/>
    </font>
    <font>
      <i/>
      <sz val="11"/>
      <color theme="1"/>
      <name val="Arial"/>
      <family val="2"/>
    </font>
    <font>
      <sz val="11"/>
      <color theme="1" tint="4.9989318521683403E-2"/>
      <name val="Arial"/>
      <family val="2"/>
    </font>
    <font>
      <b/>
      <sz val="11"/>
      <name val="Calibri"/>
      <family val="2"/>
      <scheme val="minor"/>
    </font>
    <font>
      <b/>
      <sz val="12"/>
      <color theme="1"/>
      <name val="Arial"/>
      <family val="2"/>
    </font>
    <font>
      <sz val="11"/>
      <color rgb="FF242424"/>
      <name val="Segoe UI"/>
      <family val="2"/>
    </font>
    <font>
      <sz val="11"/>
      <color theme="1" tint="0.14999847407452621"/>
      <name val="Calibri"/>
      <family val="2"/>
      <scheme val="minor"/>
    </font>
    <font>
      <sz val="11"/>
      <color theme="0"/>
      <name val="Calibri"/>
      <family val="2"/>
      <scheme val="minor"/>
    </font>
    <font>
      <b/>
      <sz val="14"/>
      <color theme="1"/>
      <name val="Arial"/>
      <family val="2"/>
    </font>
    <font>
      <b/>
      <sz val="11"/>
      <color theme="1"/>
      <name val="Century Gothic"/>
      <family val="2"/>
    </font>
    <font>
      <sz val="11"/>
      <color theme="1" tint="0.14999847407452621"/>
      <name val="Arial"/>
      <family val="2"/>
    </font>
    <font>
      <b/>
      <sz val="11"/>
      <color theme="1" tint="0.14999847407452621"/>
      <name val="Arial"/>
      <family val="2"/>
    </font>
    <font>
      <sz val="12"/>
      <color theme="1"/>
      <name val="Century Gothic"/>
      <family val="2"/>
    </font>
    <font>
      <sz val="8"/>
      <color theme="2" tint="-0.249977111117893"/>
      <name val="Calibri"/>
      <family val="2"/>
      <scheme val="minor"/>
    </font>
    <font>
      <sz val="8"/>
      <name val="Calibri"/>
      <family val="2"/>
      <scheme val="minor"/>
    </font>
    <font>
      <b/>
      <u/>
      <sz val="14"/>
      <color rgb="FF000000"/>
      <name val="Arial"/>
      <family val="2"/>
    </font>
    <font>
      <b/>
      <sz val="11"/>
      <color rgb="FF000000"/>
      <name val="Arial"/>
      <family val="2"/>
    </font>
    <font>
      <u/>
      <sz val="11"/>
      <color theme="10"/>
      <name val="Arial"/>
      <family val="2"/>
    </font>
    <font>
      <b/>
      <sz val="18"/>
      <color theme="0"/>
      <name val="Century Gothic"/>
      <family val="2"/>
    </font>
    <font>
      <sz val="12"/>
      <color rgb="FF000000"/>
      <name val="Arial"/>
      <family val="2"/>
    </font>
    <font>
      <b/>
      <sz val="14"/>
      <color theme="1"/>
      <name val="Century Gothic"/>
      <family val="2"/>
    </font>
    <font>
      <b/>
      <sz val="24"/>
      <color theme="0"/>
      <name val="Century Gothic"/>
      <family val="2"/>
    </font>
    <font>
      <sz val="24"/>
      <color theme="0"/>
      <name val="Century Gothic"/>
      <family val="2"/>
    </font>
    <font>
      <sz val="11"/>
      <color theme="6" tint="0.79998168889431442"/>
      <name val="Calibri"/>
      <family val="2"/>
      <scheme val="minor"/>
    </font>
    <font>
      <sz val="11"/>
      <color theme="6" tint="0.79998168889431442"/>
      <name val="Gill Sans MT"/>
      <family val="2"/>
    </font>
    <font>
      <u/>
      <sz val="11"/>
      <color theme="10"/>
      <name val="Segoe UI"/>
      <family val="2"/>
    </font>
  </fonts>
  <fills count="7">
    <fill>
      <patternFill patternType="none"/>
    </fill>
    <fill>
      <patternFill patternType="gray125"/>
    </fill>
    <fill>
      <patternFill patternType="solid">
        <fgColor theme="0"/>
        <bgColor indexed="64"/>
      </patternFill>
    </fill>
    <fill>
      <patternFill patternType="solid">
        <fgColor rgb="FF9DD3BE"/>
        <bgColor indexed="64"/>
      </patternFill>
    </fill>
    <fill>
      <patternFill patternType="solid">
        <fgColor rgb="FFF7E8BE"/>
        <bgColor indexed="64"/>
      </patternFill>
    </fill>
    <fill>
      <patternFill patternType="solid">
        <fgColor theme="6" tint="0.79998168889431442"/>
        <bgColor indexed="64"/>
      </patternFill>
    </fill>
    <fill>
      <patternFill patternType="solid">
        <fgColor rgb="FF449669"/>
        <bgColor indexed="64"/>
      </patternFill>
    </fill>
  </fills>
  <borders count="25">
    <border>
      <left/>
      <right/>
      <top/>
      <bottom/>
      <diagonal/>
    </border>
    <border>
      <left/>
      <right/>
      <top/>
      <bottom style="thick">
        <color rgb="FF449669"/>
      </bottom>
      <diagonal/>
    </border>
    <border>
      <left/>
      <right style="thick">
        <color rgb="FF449669"/>
      </right>
      <top/>
      <bottom/>
      <diagonal/>
    </border>
    <border>
      <left/>
      <right style="thick">
        <color rgb="FF449669"/>
      </right>
      <top/>
      <bottom style="thick">
        <color rgb="FF449669"/>
      </bottom>
      <diagonal/>
    </border>
    <border>
      <left/>
      <right/>
      <top style="thick">
        <color rgb="FF449669"/>
      </top>
      <bottom style="thick">
        <color rgb="FF449669"/>
      </bottom>
      <diagonal/>
    </border>
    <border>
      <left style="thick">
        <color rgb="FF449669"/>
      </left>
      <right style="thick">
        <color rgb="FF449669"/>
      </right>
      <top/>
      <bottom/>
      <diagonal/>
    </border>
    <border>
      <left style="thick">
        <color rgb="FF449669"/>
      </left>
      <right style="thick">
        <color rgb="FF449669"/>
      </right>
      <top/>
      <bottom style="thick">
        <color rgb="FF449669"/>
      </bottom>
      <diagonal/>
    </border>
    <border>
      <left/>
      <right/>
      <top style="thick">
        <color rgb="FF449669"/>
      </top>
      <bottom/>
      <diagonal/>
    </border>
    <border>
      <left style="thick">
        <color rgb="FF449669"/>
      </left>
      <right/>
      <top style="thick">
        <color rgb="FF449669"/>
      </top>
      <bottom/>
      <diagonal/>
    </border>
    <border>
      <left/>
      <right style="thick">
        <color rgb="FF449669"/>
      </right>
      <top style="thick">
        <color rgb="FF449669"/>
      </top>
      <bottom/>
      <diagonal/>
    </border>
    <border>
      <left style="thick">
        <color rgb="FF449669"/>
      </left>
      <right/>
      <top/>
      <bottom/>
      <diagonal/>
    </border>
    <border>
      <left style="thick">
        <color rgb="FF449669"/>
      </left>
      <right/>
      <top/>
      <bottom style="thick">
        <color rgb="FF449669"/>
      </bottom>
      <diagonal/>
    </border>
    <border>
      <left/>
      <right/>
      <top/>
      <bottom style="medium">
        <color rgb="FF449669"/>
      </bottom>
      <diagonal/>
    </border>
    <border>
      <left/>
      <right/>
      <top style="medium">
        <color rgb="FF449669"/>
      </top>
      <bottom/>
      <diagonal/>
    </border>
    <border>
      <left/>
      <right/>
      <top style="medium">
        <color rgb="FF449669"/>
      </top>
      <bottom style="medium">
        <color rgb="FF449669"/>
      </bottom>
      <diagonal/>
    </border>
    <border>
      <left/>
      <right style="medium">
        <color rgb="FF449669"/>
      </right>
      <top/>
      <bottom/>
      <diagonal/>
    </border>
    <border>
      <left style="medium">
        <color rgb="FF449669"/>
      </left>
      <right style="medium">
        <color rgb="FF449669"/>
      </right>
      <top/>
      <bottom/>
      <diagonal/>
    </border>
    <border>
      <left/>
      <right style="medium">
        <color rgb="FF449669"/>
      </right>
      <top/>
      <bottom style="medium">
        <color rgb="FF449669"/>
      </bottom>
      <diagonal/>
    </border>
    <border>
      <left style="medium">
        <color rgb="FF449669"/>
      </left>
      <right style="medium">
        <color rgb="FF449669"/>
      </right>
      <top/>
      <bottom style="medium">
        <color rgb="FF449669"/>
      </bottom>
      <diagonal/>
    </border>
    <border>
      <left/>
      <right style="medium">
        <color rgb="FF449669"/>
      </right>
      <top style="medium">
        <color rgb="FF449669"/>
      </top>
      <bottom/>
      <diagonal/>
    </border>
    <border>
      <left style="medium">
        <color rgb="FF449669"/>
      </left>
      <right/>
      <top/>
      <bottom/>
      <diagonal/>
    </border>
    <border>
      <left style="thick">
        <color rgb="FF449669"/>
      </left>
      <right style="thick">
        <color rgb="FF449669"/>
      </right>
      <top style="thick">
        <color rgb="FF449669"/>
      </top>
      <bottom/>
      <diagonal/>
    </border>
    <border>
      <left style="medium">
        <color rgb="FF449669"/>
      </left>
      <right style="medium">
        <color rgb="FF449669"/>
      </right>
      <top style="medium">
        <color rgb="FF449669"/>
      </top>
      <bottom/>
      <diagonal/>
    </border>
    <border>
      <left style="medium">
        <color rgb="FF449669"/>
      </left>
      <right/>
      <top/>
      <bottom style="medium">
        <color rgb="FF449669"/>
      </bottom>
      <diagonal/>
    </border>
    <border>
      <left style="medium">
        <color rgb="FF449669"/>
      </left>
      <right/>
      <top style="medium">
        <color rgb="FF449669"/>
      </top>
      <bottom/>
      <diagonal/>
    </border>
  </borders>
  <cellStyleXfs count="2">
    <xf numFmtId="0" fontId="0" fillId="0" borderId="0"/>
    <xf numFmtId="0" fontId="2" fillId="0" borderId="0" applyNumberFormat="0" applyFill="0" applyBorder="0" applyAlignment="0" applyProtection="0"/>
  </cellStyleXfs>
  <cellXfs count="282">
    <xf numFmtId="0" fontId="0" fillId="0" borderId="0" xfId="0"/>
    <xf numFmtId="0" fontId="0" fillId="2" borderId="0" xfId="0" applyFill="1"/>
    <xf numFmtId="0" fontId="1" fillId="2" borderId="0" xfId="0" applyFont="1" applyFill="1"/>
    <xf numFmtId="0" fontId="6" fillId="2" borderId="0" xfId="0" applyFont="1" applyFill="1" applyAlignment="1">
      <alignment horizontal="left"/>
    </xf>
    <xf numFmtId="0" fontId="7" fillId="2" borderId="0" xfId="0" applyFont="1" applyFill="1" applyAlignment="1">
      <alignment horizontal="left"/>
    </xf>
    <xf numFmtId="0" fontId="8" fillId="2" borderId="0" xfId="0" applyFont="1" applyFill="1" applyAlignment="1">
      <alignment horizontal="left"/>
    </xf>
    <xf numFmtId="14" fontId="6" fillId="2" borderId="0" xfId="0" applyNumberFormat="1" applyFont="1" applyFill="1" applyAlignment="1">
      <alignment vertical="center" wrapText="1"/>
    </xf>
    <xf numFmtId="0" fontId="6" fillId="2" borderId="0" xfId="0" applyFont="1" applyFill="1" applyAlignment="1">
      <alignment vertical="center"/>
    </xf>
    <xf numFmtId="0" fontId="6" fillId="2" borderId="0" xfId="0" applyFont="1" applyFill="1" applyAlignment="1">
      <alignment vertical="center" wrapText="1"/>
    </xf>
    <xf numFmtId="0" fontId="6"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pplyAlignment="1">
      <alignment horizontal="center" vertical="center"/>
    </xf>
    <xf numFmtId="2" fontId="6" fillId="2" borderId="0" xfId="0" applyNumberFormat="1" applyFont="1" applyFill="1" applyAlignment="1">
      <alignment horizontal="center" vertical="center"/>
    </xf>
    <xf numFmtId="2" fontId="8" fillId="2" borderId="0" xfId="0" applyNumberFormat="1" applyFont="1" applyFill="1" applyAlignment="1">
      <alignment horizontal="center" vertical="center"/>
    </xf>
    <xf numFmtId="0" fontId="11" fillId="2" borderId="1" xfId="0" applyFont="1" applyFill="1" applyBorder="1"/>
    <xf numFmtId="0" fontId="12" fillId="2" borderId="0" xfId="0" applyFont="1" applyFill="1" applyAlignment="1">
      <alignment horizontal="left" vertical="center" wrapText="1"/>
    </xf>
    <xf numFmtId="0" fontId="12" fillId="2" borderId="4" xfId="0" applyFont="1" applyFill="1" applyBorder="1" applyAlignment="1">
      <alignment horizontal="left" vertical="center" wrapText="1"/>
    </xf>
    <xf numFmtId="0" fontId="12" fillId="2" borderId="7" xfId="0" applyFont="1" applyFill="1" applyBorder="1" applyAlignment="1">
      <alignment horizontal="left" vertical="center" wrapText="1"/>
    </xf>
    <xf numFmtId="2" fontId="15" fillId="2" borderId="0" xfId="0" applyNumberFormat="1" applyFont="1" applyFill="1" applyAlignment="1">
      <alignment horizontal="center" vertical="center"/>
    </xf>
    <xf numFmtId="0" fontId="11" fillId="2" borderId="0" xfId="0" applyFont="1" applyFill="1" applyAlignment="1">
      <alignment horizontal="left" vertical="center"/>
    </xf>
    <xf numFmtId="2" fontId="11" fillId="4" borderId="0" xfId="0" applyNumberFormat="1" applyFont="1" applyFill="1" applyAlignment="1">
      <alignment horizontal="center" vertical="center"/>
    </xf>
    <xf numFmtId="2" fontId="11" fillId="2" borderId="0" xfId="0" applyNumberFormat="1" applyFont="1" applyFill="1" applyAlignment="1">
      <alignment horizontal="center" vertical="center"/>
    </xf>
    <xf numFmtId="0" fontId="15" fillId="2" borderId="0" xfId="0" applyFont="1" applyFill="1"/>
    <xf numFmtId="2" fontId="15" fillId="4" borderId="1" xfId="0" applyNumberFormat="1" applyFont="1" applyFill="1" applyBorder="1" applyAlignment="1">
      <alignment horizontal="left" vertical="center" wrapText="1"/>
    </xf>
    <xf numFmtId="14" fontId="15" fillId="2" borderId="0" xfId="0" applyNumberFormat="1" applyFont="1" applyFill="1" applyAlignment="1">
      <alignment vertical="center" wrapText="1"/>
    </xf>
    <xf numFmtId="0" fontId="15" fillId="2" borderId="0" xfId="0" applyFont="1" applyFill="1" applyAlignment="1">
      <alignment vertical="center"/>
    </xf>
    <xf numFmtId="0" fontId="15" fillId="2" borderId="0" xfId="0" applyFont="1" applyFill="1" applyAlignment="1">
      <alignment vertical="center" wrapText="1"/>
    </xf>
    <xf numFmtId="0" fontId="15" fillId="2" borderId="0" xfId="0" applyFont="1" applyFill="1" applyAlignment="1">
      <alignment horizontal="left" vertical="center"/>
    </xf>
    <xf numFmtId="2" fontId="15" fillId="2" borderId="0" xfId="0" applyNumberFormat="1" applyFont="1" applyFill="1" applyAlignment="1">
      <alignment horizontal="left" vertical="center"/>
    </xf>
    <xf numFmtId="0" fontId="13" fillId="2" borderId="0" xfId="0" applyFont="1" applyFill="1" applyAlignment="1">
      <alignment horizontal="left" vertical="center"/>
    </xf>
    <xf numFmtId="0" fontId="15" fillId="5" borderId="0" xfId="0" applyFont="1" applyFill="1"/>
    <xf numFmtId="0" fontId="12" fillId="5" borderId="6" xfId="0" applyFont="1" applyFill="1" applyBorder="1" applyAlignment="1">
      <alignment horizontal="left" vertical="center"/>
    </xf>
    <xf numFmtId="0" fontId="12" fillId="5" borderId="3" xfId="0" applyFont="1" applyFill="1" applyBorder="1" applyAlignment="1">
      <alignment horizontal="left" vertical="center"/>
    </xf>
    <xf numFmtId="0" fontId="12" fillId="5" borderId="3" xfId="0" applyFont="1" applyFill="1" applyBorder="1" applyAlignment="1">
      <alignment horizontal="left" vertical="center" wrapText="1"/>
    </xf>
    <xf numFmtId="0" fontId="15" fillId="5" borderId="2" xfId="0" applyFont="1" applyFill="1" applyBorder="1" applyAlignment="1">
      <alignment horizontal="left" vertical="center"/>
    </xf>
    <xf numFmtId="2" fontId="15" fillId="5" borderId="0" xfId="0" applyNumberFormat="1" applyFont="1" applyFill="1" applyAlignment="1">
      <alignment horizontal="left" vertical="center"/>
    </xf>
    <xf numFmtId="0" fontId="11" fillId="5" borderId="1" xfId="0" applyFont="1" applyFill="1" applyBorder="1" applyAlignment="1">
      <alignment horizontal="left" vertical="center"/>
    </xf>
    <xf numFmtId="0" fontId="15" fillId="5" borderId="7" xfId="0" applyFont="1" applyFill="1" applyBorder="1" applyAlignment="1">
      <alignment horizontal="left" vertical="center"/>
    </xf>
    <xf numFmtId="0" fontId="15" fillId="5" borderId="0" xfId="0" applyFont="1" applyFill="1" applyAlignment="1">
      <alignment horizontal="left" vertical="center"/>
    </xf>
    <xf numFmtId="0" fontId="16" fillId="5" borderId="0" xfId="0" applyFont="1" applyFill="1" applyAlignment="1">
      <alignment horizontal="left" vertical="center"/>
    </xf>
    <xf numFmtId="0" fontId="12" fillId="5" borderId="11" xfId="0" applyFont="1" applyFill="1" applyBorder="1" applyAlignment="1">
      <alignment horizontal="left" vertical="center" wrapText="1"/>
    </xf>
    <xf numFmtId="0" fontId="15" fillId="5" borderId="10" xfId="0" applyFont="1" applyFill="1" applyBorder="1" applyAlignment="1">
      <alignment horizontal="left" vertical="center"/>
    </xf>
    <xf numFmtId="0" fontId="12" fillId="5" borderId="11" xfId="0" applyFont="1" applyFill="1" applyBorder="1" applyAlignment="1">
      <alignment horizontal="left" vertical="center"/>
    </xf>
    <xf numFmtId="49" fontId="15" fillId="5" borderId="2" xfId="0" applyNumberFormat="1" applyFont="1" applyFill="1" applyBorder="1" applyAlignment="1">
      <alignment horizontal="left" vertical="center"/>
    </xf>
    <xf numFmtId="0" fontId="15" fillId="5" borderId="5" xfId="0" applyFont="1" applyFill="1" applyBorder="1" applyAlignment="1">
      <alignment horizontal="left" vertical="center"/>
    </xf>
    <xf numFmtId="2" fontId="15" fillId="5" borderId="8" xfId="0" applyNumberFormat="1" applyFont="1" applyFill="1" applyBorder="1" applyAlignment="1">
      <alignment horizontal="left" vertical="center"/>
    </xf>
    <xf numFmtId="2" fontId="15" fillId="5" borderId="10"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13" fillId="5" borderId="2" xfId="0" applyFont="1" applyFill="1" applyBorder="1" applyAlignment="1">
      <alignment horizontal="left" vertical="center"/>
    </xf>
    <xf numFmtId="2" fontId="15" fillId="5" borderId="2" xfId="0" applyNumberFormat="1" applyFont="1" applyFill="1" applyBorder="1" applyAlignment="1">
      <alignment horizontal="left" vertical="center"/>
    </xf>
    <xf numFmtId="0" fontId="4" fillId="5" borderId="5" xfId="0" applyFont="1" applyFill="1" applyBorder="1" applyAlignment="1">
      <alignment horizontal="left" vertical="center"/>
    </xf>
    <xf numFmtId="0" fontId="3" fillId="5" borderId="5" xfId="0" applyFont="1" applyFill="1" applyBorder="1" applyAlignment="1">
      <alignment horizontal="left" vertical="center"/>
    </xf>
    <xf numFmtId="0" fontId="13" fillId="5" borderId="5" xfId="0" applyFont="1" applyFill="1" applyBorder="1" applyAlignment="1">
      <alignment horizontal="left" vertical="center"/>
    </xf>
    <xf numFmtId="2" fontId="4" fillId="5" borderId="5" xfId="0" applyNumberFormat="1" applyFont="1" applyFill="1" applyBorder="1" applyAlignment="1">
      <alignment horizontal="left" vertical="center"/>
    </xf>
    <xf numFmtId="2" fontId="13" fillId="4" borderId="1" xfId="0" applyNumberFormat="1" applyFont="1" applyFill="1" applyBorder="1" applyAlignment="1">
      <alignment horizontal="left" vertical="center"/>
    </xf>
    <xf numFmtId="2" fontId="15" fillId="4" borderId="4" xfId="0" applyNumberFormat="1" applyFont="1" applyFill="1" applyBorder="1" applyAlignment="1">
      <alignment horizontal="left" vertical="center"/>
    </xf>
    <xf numFmtId="2" fontId="15" fillId="4" borderId="7" xfId="0" applyNumberFormat="1" applyFont="1" applyFill="1" applyBorder="1" applyAlignment="1">
      <alignment horizontal="left" vertical="center" wrapText="1"/>
    </xf>
    <xf numFmtId="2" fontId="11" fillId="2" borderId="0" xfId="0" applyNumberFormat="1" applyFont="1" applyFill="1" applyAlignment="1">
      <alignment vertical="center"/>
    </xf>
    <xf numFmtId="0" fontId="19" fillId="2" borderId="0" xfId="0" applyFont="1" applyFill="1" applyAlignment="1">
      <alignment horizontal="left" vertical="center" wrapText="1"/>
    </xf>
    <xf numFmtId="0" fontId="15" fillId="4" borderId="0" xfId="0" applyFont="1" applyFill="1" applyAlignment="1">
      <alignment horizontal="center" vertical="center"/>
    </xf>
    <xf numFmtId="0" fontId="15" fillId="2" borderId="12" xfId="0" applyFont="1" applyFill="1" applyBorder="1" applyAlignment="1">
      <alignment horizontal="left" vertical="center"/>
    </xf>
    <xf numFmtId="0" fontId="15" fillId="4" borderId="12" xfId="0" applyFont="1" applyFill="1" applyBorder="1" applyAlignment="1">
      <alignment horizontal="center" vertical="center"/>
    </xf>
    <xf numFmtId="0" fontId="15" fillId="2" borderId="13" xfId="0" applyFont="1" applyFill="1" applyBorder="1" applyAlignment="1">
      <alignment horizontal="left" vertical="center"/>
    </xf>
    <xf numFmtId="0" fontId="11" fillId="2" borderId="13" xfId="0" applyFont="1" applyFill="1" applyBorder="1" applyAlignment="1">
      <alignment horizontal="left" vertical="center"/>
    </xf>
    <xf numFmtId="2" fontId="15" fillId="4" borderId="13" xfId="0" applyNumberFormat="1" applyFont="1" applyFill="1" applyBorder="1" applyAlignment="1">
      <alignment horizontal="center" vertical="center"/>
    </xf>
    <xf numFmtId="2" fontId="11" fillId="4" borderId="13" xfId="0" applyNumberFormat="1" applyFont="1" applyFill="1" applyBorder="1" applyAlignment="1">
      <alignment horizontal="center" vertical="center"/>
    </xf>
    <xf numFmtId="0" fontId="15" fillId="2" borderId="14" xfId="0" applyFont="1" applyFill="1" applyBorder="1" applyAlignment="1">
      <alignment horizontal="left" vertical="center"/>
    </xf>
    <xf numFmtId="0" fontId="15" fillId="4" borderId="14" xfId="0" applyFont="1" applyFill="1" applyBorder="1" applyAlignment="1">
      <alignment horizontal="center" vertical="center"/>
    </xf>
    <xf numFmtId="2" fontId="15" fillId="4" borderId="14" xfId="0" applyNumberFormat="1" applyFont="1" applyFill="1" applyBorder="1" applyAlignment="1">
      <alignment horizontal="center" vertical="center"/>
    </xf>
    <xf numFmtId="0" fontId="12" fillId="2" borderId="13"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1" fillId="2" borderId="12" xfId="0" applyFont="1" applyFill="1" applyBorder="1"/>
    <xf numFmtId="0" fontId="12" fillId="2" borderId="14" xfId="0" applyFont="1" applyFill="1" applyBorder="1" applyAlignment="1">
      <alignment horizontal="left" vertical="center" wrapText="1"/>
    </xf>
    <xf numFmtId="0" fontId="19" fillId="2" borderId="12" xfId="0" applyFont="1" applyFill="1" applyBorder="1" applyAlignment="1">
      <alignment horizontal="left" vertical="center" wrapText="1"/>
    </xf>
    <xf numFmtId="0" fontId="11" fillId="2" borderId="15" xfId="0" applyFont="1" applyFill="1" applyBorder="1" applyAlignment="1">
      <alignment horizontal="right"/>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9" xfId="0" applyFont="1" applyFill="1" applyBorder="1" applyAlignment="1">
      <alignment horizontal="right"/>
    </xf>
    <xf numFmtId="0" fontId="11" fillId="2" borderId="17" xfId="0" applyFont="1" applyFill="1" applyBorder="1" applyAlignment="1">
      <alignment horizontal="left" vertical="center"/>
    </xf>
    <xf numFmtId="2" fontId="11" fillId="4" borderId="0" xfId="0" applyNumberFormat="1" applyFont="1" applyFill="1" applyAlignment="1">
      <alignment horizontal="left"/>
    </xf>
    <xf numFmtId="2" fontId="11" fillId="4" borderId="12" xfId="0" applyNumberFormat="1" applyFont="1" applyFill="1" applyBorder="1" applyAlignment="1">
      <alignment horizontal="left"/>
    </xf>
    <xf numFmtId="0" fontId="15" fillId="4" borderId="0" xfId="0" applyFont="1" applyFill="1" applyAlignment="1">
      <alignment horizontal="center" vertical="center" wrapText="1"/>
    </xf>
    <xf numFmtId="0" fontId="24" fillId="2" borderId="0" xfId="0" applyFont="1" applyFill="1" applyAlignment="1">
      <alignment vertical="center" wrapText="1"/>
    </xf>
    <xf numFmtId="14" fontId="11" fillId="2" borderId="0" xfId="0" applyNumberFormat="1" applyFont="1" applyFill="1" applyAlignment="1">
      <alignment vertical="center" wrapText="1"/>
    </xf>
    <xf numFmtId="0" fontId="11" fillId="2" borderId="0" xfId="0" applyFont="1" applyFill="1" applyAlignment="1">
      <alignment vertical="center" wrapText="1"/>
    </xf>
    <xf numFmtId="0" fontId="10" fillId="2" borderId="0" xfId="0" applyFont="1" applyFill="1" applyAlignment="1">
      <alignment horizontal="center" vertical="center" wrapText="1"/>
    </xf>
    <xf numFmtId="0" fontId="0" fillId="2" borderId="0" xfId="0" applyFill="1" applyAlignment="1">
      <alignment horizontal="left"/>
    </xf>
    <xf numFmtId="2" fontId="11" fillId="2" borderId="0" xfId="0" applyNumberFormat="1" applyFont="1" applyFill="1" applyAlignment="1">
      <alignment horizontal="left" vertical="center"/>
    </xf>
    <xf numFmtId="2" fontId="15" fillId="4" borderId="12" xfId="0" applyNumberFormat="1" applyFont="1" applyFill="1" applyBorder="1" applyAlignment="1">
      <alignment horizontal="center" vertical="center"/>
    </xf>
    <xf numFmtId="0" fontId="22" fillId="2" borderId="0" xfId="0" applyFont="1" applyFill="1"/>
    <xf numFmtId="0" fontId="22" fillId="2" borderId="0" xfId="0" applyFont="1" applyFill="1" applyAlignment="1">
      <alignment horizontal="left"/>
    </xf>
    <xf numFmtId="0" fontId="26" fillId="2" borderId="0" xfId="0" applyFont="1" applyFill="1" applyAlignment="1">
      <alignment horizontal="left" vertical="center"/>
    </xf>
    <xf numFmtId="2" fontId="26" fillId="2" borderId="0" xfId="0" applyNumberFormat="1" applyFont="1" applyFill="1" applyAlignment="1">
      <alignment horizontal="left" vertical="center"/>
    </xf>
    <xf numFmtId="0" fontId="27" fillId="2" borderId="0" xfId="0" applyFont="1" applyFill="1" applyAlignment="1">
      <alignment horizontal="left" vertical="center"/>
    </xf>
    <xf numFmtId="2" fontId="27" fillId="2" borderId="0" xfId="0" applyNumberFormat="1" applyFont="1" applyFill="1" applyAlignment="1">
      <alignment horizontal="left" vertical="center"/>
    </xf>
    <xf numFmtId="0" fontId="26" fillId="2" borderId="0" xfId="0" applyFont="1" applyFill="1" applyAlignment="1">
      <alignment horizontal="center" vertical="center"/>
    </xf>
    <xf numFmtId="2" fontId="26" fillId="2" borderId="0" xfId="0" applyNumberFormat="1" applyFont="1" applyFill="1" applyAlignment="1">
      <alignment horizontal="center" vertical="center"/>
    </xf>
    <xf numFmtId="2" fontId="27" fillId="2" borderId="0" xfId="0" applyNumberFormat="1" applyFont="1" applyFill="1" applyAlignment="1">
      <alignment horizontal="center" vertical="center"/>
    </xf>
    <xf numFmtId="2" fontId="13" fillId="4" borderId="12" xfId="0" applyNumberFormat="1" applyFont="1" applyFill="1" applyBorder="1" applyAlignment="1">
      <alignment horizontal="center" vertical="center"/>
    </xf>
    <xf numFmtId="2" fontId="15" fillId="4" borderId="14" xfId="0" quotePrefix="1" applyNumberFormat="1" applyFont="1" applyFill="1" applyBorder="1" applyAlignment="1">
      <alignment horizontal="center" vertical="center" wrapText="1"/>
    </xf>
    <xf numFmtId="2" fontId="15" fillId="4" borderId="0" xfId="0" applyNumberFormat="1" applyFont="1" applyFill="1" applyAlignment="1">
      <alignment horizontal="center" vertical="center" wrapText="1"/>
    </xf>
    <xf numFmtId="2" fontId="15" fillId="4" borderId="14" xfId="0" applyNumberFormat="1" applyFont="1" applyFill="1" applyBorder="1" applyAlignment="1">
      <alignment horizontal="center" vertical="center" wrapText="1"/>
    </xf>
    <xf numFmtId="0" fontId="11" fillId="4" borderId="16" xfId="0" applyFont="1" applyFill="1" applyBorder="1" applyAlignment="1">
      <alignment horizontal="right"/>
    </xf>
    <xf numFmtId="2" fontId="11" fillId="4" borderId="0" xfId="0" applyNumberFormat="1" applyFont="1" applyFill="1" applyAlignment="1">
      <alignment horizontal="right"/>
    </xf>
    <xf numFmtId="0" fontId="29" fillId="2" borderId="0" xfId="0" applyFont="1" applyFill="1" applyAlignment="1">
      <alignment wrapText="1"/>
    </xf>
    <xf numFmtId="14" fontId="18" fillId="3" borderId="12" xfId="0" applyNumberFormat="1" applyFont="1" applyFill="1" applyBorder="1" applyAlignment="1" applyProtection="1">
      <alignment horizontal="left" vertical="center"/>
      <protection locked="0"/>
    </xf>
    <xf numFmtId="2" fontId="18" fillId="3" borderId="14" xfId="0" applyNumberFormat="1"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protection locked="0"/>
    </xf>
    <xf numFmtId="0" fontId="18" fillId="3" borderId="0" xfId="0" applyFont="1" applyFill="1" applyAlignment="1" applyProtection="1">
      <alignment horizontal="left" vertical="center"/>
      <protection locked="0"/>
    </xf>
    <xf numFmtId="0" fontId="15" fillId="3" borderId="15" xfId="0" applyFont="1" applyFill="1" applyBorder="1" applyAlignment="1" applyProtection="1">
      <alignment horizontal="left"/>
      <protection locked="0"/>
    </xf>
    <xf numFmtId="2" fontId="15" fillId="3" borderId="18" xfId="0" applyNumberFormat="1" applyFont="1" applyFill="1" applyBorder="1" applyAlignment="1" applyProtection="1">
      <alignment horizontal="left"/>
      <protection locked="0"/>
    </xf>
    <xf numFmtId="14" fontId="13" fillId="3" borderId="12" xfId="0" applyNumberFormat="1" applyFont="1" applyFill="1" applyBorder="1" applyAlignment="1" applyProtection="1">
      <alignment horizontal="center" vertical="center"/>
      <protection locked="0"/>
    </xf>
    <xf numFmtId="2" fontId="15" fillId="3" borderId="12" xfId="0" applyNumberFormat="1" applyFont="1" applyFill="1" applyBorder="1" applyAlignment="1" applyProtection="1">
      <alignment horizontal="center" vertical="center" wrapText="1"/>
      <protection locked="0"/>
    </xf>
    <xf numFmtId="0" fontId="15" fillId="3" borderId="1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0" fillId="2" borderId="0" xfId="0" applyFont="1" applyFill="1" applyAlignment="1" applyProtection="1">
      <alignment vertical="center" wrapText="1"/>
      <protection locked="0"/>
    </xf>
    <xf numFmtId="0" fontId="15" fillId="3" borderId="17" xfId="0" applyFont="1" applyFill="1" applyBorder="1" applyAlignment="1" applyProtection="1">
      <alignment horizontal="left"/>
      <protection locked="0"/>
    </xf>
    <xf numFmtId="2" fontId="15" fillId="4" borderId="12" xfId="0" applyNumberFormat="1" applyFont="1" applyFill="1" applyBorder="1" applyAlignment="1">
      <alignment horizontal="left"/>
    </xf>
    <xf numFmtId="0" fontId="0" fillId="2" borderId="2" xfId="0" applyFill="1" applyBorder="1"/>
    <xf numFmtId="0" fontId="31" fillId="0" borderId="0" xfId="0" applyFont="1" applyAlignment="1">
      <alignment horizontal="left" vertical="top" indent="2"/>
    </xf>
    <xf numFmtId="0" fontId="15" fillId="2" borderId="11" xfId="0" applyFont="1" applyFill="1" applyBorder="1" applyAlignment="1">
      <alignment horizontal="left" vertical="top" indent="2"/>
    </xf>
    <xf numFmtId="0" fontId="15" fillId="2" borderId="1" xfId="0" applyFont="1" applyFill="1" applyBorder="1" applyAlignment="1">
      <alignment horizontal="left" vertical="top" indent="2"/>
    </xf>
    <xf numFmtId="0" fontId="11" fillId="2" borderId="10" xfId="0" applyFont="1" applyFill="1" applyBorder="1" applyAlignment="1">
      <alignment horizontal="left" vertical="top" indent="2"/>
    </xf>
    <xf numFmtId="0" fontId="31" fillId="0" borderId="0" xfId="0" applyFont="1" applyAlignment="1">
      <alignment horizontal="left" vertical="center" indent="2"/>
    </xf>
    <xf numFmtId="0" fontId="32" fillId="0" borderId="0" xfId="0" applyFont="1" applyAlignment="1">
      <alignment horizontal="left" vertical="top"/>
    </xf>
    <xf numFmtId="2" fontId="15" fillId="5" borderId="5" xfId="0" applyNumberFormat="1" applyFont="1" applyFill="1" applyBorder="1" applyAlignment="1">
      <alignment horizontal="left" vertical="center"/>
    </xf>
    <xf numFmtId="0" fontId="11" fillId="4" borderId="15" xfId="0" applyFont="1" applyFill="1" applyBorder="1" applyAlignment="1">
      <alignment horizontal="right"/>
    </xf>
    <xf numFmtId="0" fontId="12" fillId="5" borderId="1" xfId="0" applyFont="1" applyFill="1" applyBorder="1" applyAlignment="1">
      <alignment horizontal="left" vertical="center" wrapText="1"/>
    </xf>
    <xf numFmtId="0" fontId="0" fillId="2" borderId="10" xfId="0" applyFill="1" applyBorder="1"/>
    <xf numFmtId="0" fontId="15" fillId="2" borderId="10" xfId="0" applyFont="1" applyFill="1" applyBorder="1"/>
    <xf numFmtId="0" fontId="15" fillId="2" borderId="2" xfId="0" applyFont="1" applyFill="1" applyBorder="1"/>
    <xf numFmtId="0" fontId="0" fillId="2" borderId="1" xfId="0" applyFill="1" applyBorder="1"/>
    <xf numFmtId="0" fontId="0" fillId="2" borderId="3" xfId="0" applyFill="1" applyBorder="1"/>
    <xf numFmtId="0" fontId="0" fillId="5" borderId="0" xfId="0" applyFill="1"/>
    <xf numFmtId="0" fontId="0" fillId="5" borderId="2" xfId="0" applyFill="1" applyBorder="1"/>
    <xf numFmtId="0" fontId="15" fillId="5" borderId="7" xfId="0" applyFont="1" applyFill="1" applyBorder="1" applyAlignment="1">
      <alignment horizontal="left" vertical="top" indent="2"/>
    </xf>
    <xf numFmtId="14" fontId="6" fillId="5" borderId="0" xfId="0" applyNumberFormat="1" applyFont="1" applyFill="1" applyAlignment="1">
      <alignment vertical="center" wrapText="1"/>
    </xf>
    <xf numFmtId="0" fontId="1" fillId="5" borderId="0" xfId="0" applyFont="1" applyFill="1"/>
    <xf numFmtId="0" fontId="6" fillId="5" borderId="0" xfId="0" applyFont="1" applyFill="1" applyAlignment="1">
      <alignment vertical="center"/>
    </xf>
    <xf numFmtId="0" fontId="6" fillId="5" borderId="0" xfId="0" applyFont="1" applyFill="1" applyAlignment="1">
      <alignment vertical="center" wrapText="1"/>
    </xf>
    <xf numFmtId="0" fontId="38" fillId="2" borderId="0" xfId="0" applyFont="1" applyFill="1" applyAlignment="1">
      <alignment horizontal="center" vertical="center"/>
    </xf>
    <xf numFmtId="0" fontId="6" fillId="2" borderId="2" xfId="0" applyFont="1" applyFill="1" applyBorder="1" applyAlignment="1">
      <alignment vertical="center"/>
    </xf>
    <xf numFmtId="14" fontId="6" fillId="2" borderId="2" xfId="0" applyNumberFormat="1" applyFont="1" applyFill="1" applyBorder="1" applyAlignment="1">
      <alignment vertical="center" wrapText="1"/>
    </xf>
    <xf numFmtId="0" fontId="6" fillId="2" borderId="2" xfId="0" applyFont="1" applyFill="1" applyBorder="1" applyAlignment="1">
      <alignment vertical="center" wrapText="1"/>
    </xf>
    <xf numFmtId="0" fontId="0" fillId="2" borderId="11" xfId="0" applyFill="1" applyBorder="1"/>
    <xf numFmtId="0" fontId="19" fillId="2" borderId="14" xfId="0" applyFont="1" applyFill="1" applyBorder="1" applyAlignment="1">
      <alignment vertical="center" wrapText="1"/>
    </xf>
    <xf numFmtId="0" fontId="19" fillId="2" borderId="0" xfId="0" applyFont="1" applyFill="1" applyAlignment="1">
      <alignment vertical="center" wrapText="1"/>
    </xf>
    <xf numFmtId="0" fontId="7" fillId="2" borderId="2" xfId="0" applyFont="1" applyFill="1" applyBorder="1" applyAlignment="1">
      <alignment horizontal="left"/>
    </xf>
    <xf numFmtId="0" fontId="6" fillId="2" borderId="2" xfId="0" applyFont="1" applyFill="1" applyBorder="1" applyAlignment="1">
      <alignment horizontal="left" vertical="center"/>
    </xf>
    <xf numFmtId="0" fontId="9" fillId="2" borderId="2" xfId="0" applyFont="1" applyFill="1" applyBorder="1"/>
    <xf numFmtId="0" fontId="21" fillId="0" borderId="2" xfId="0" applyFont="1" applyBorder="1"/>
    <xf numFmtId="0" fontId="22" fillId="2" borderId="2" xfId="0" applyFont="1" applyFill="1" applyBorder="1"/>
    <xf numFmtId="0" fontId="39" fillId="5" borderId="0" xfId="0" applyFont="1" applyFill="1"/>
    <xf numFmtId="14" fontId="40" fillId="5" borderId="0" xfId="0" applyNumberFormat="1" applyFont="1" applyFill="1" applyAlignment="1">
      <alignment vertical="center" wrapText="1"/>
    </xf>
    <xf numFmtId="0" fontId="40" fillId="5" borderId="0" xfId="0" applyFont="1" applyFill="1" applyAlignment="1">
      <alignment vertical="center"/>
    </xf>
    <xf numFmtId="0" fontId="40" fillId="5" borderId="0" xfId="0" applyFont="1" applyFill="1" applyAlignment="1">
      <alignment vertical="center" wrapText="1"/>
    </xf>
    <xf numFmtId="0" fontId="39" fillId="5" borderId="2" xfId="0" applyFont="1" applyFill="1" applyBorder="1"/>
    <xf numFmtId="0" fontId="23" fillId="2" borderId="2" xfId="0" applyFont="1" applyFill="1" applyBorder="1"/>
    <xf numFmtId="0" fontId="23" fillId="5" borderId="0" xfId="0" applyFont="1" applyFill="1"/>
    <xf numFmtId="0" fontId="9" fillId="5" borderId="0" xfId="0" applyFont="1" applyFill="1"/>
    <xf numFmtId="0" fontId="8" fillId="2" borderId="2" xfId="0" applyFont="1" applyFill="1" applyBorder="1" applyAlignment="1">
      <alignment horizontal="left"/>
    </xf>
    <xf numFmtId="0" fontId="6" fillId="2" borderId="2" xfId="0" applyFont="1" applyFill="1" applyBorder="1" applyAlignment="1">
      <alignment horizontal="left"/>
    </xf>
    <xf numFmtId="0" fontId="15" fillId="2" borderId="0" xfId="0" applyFont="1" applyFill="1" applyAlignment="1">
      <alignment horizontal="center"/>
    </xf>
    <xf numFmtId="0" fontId="8" fillId="5" borderId="0" xfId="0" applyFont="1" applyFill="1" applyAlignment="1">
      <alignment horizontal="left"/>
    </xf>
    <xf numFmtId="0" fontId="7" fillId="5" borderId="0" xfId="0" applyFont="1" applyFill="1" applyAlignment="1">
      <alignment horizontal="left"/>
    </xf>
    <xf numFmtId="0" fontId="6" fillId="5" borderId="0" xfId="0" applyFont="1" applyFill="1" applyAlignment="1">
      <alignment horizontal="left"/>
    </xf>
    <xf numFmtId="0" fontId="6" fillId="5" borderId="0" xfId="0" applyFont="1" applyFill="1" applyAlignment="1">
      <alignment horizontal="left" vertical="center"/>
    </xf>
    <xf numFmtId="0" fontId="14" fillId="5" borderId="0" xfId="0" applyFont="1" applyFill="1" applyAlignment="1">
      <alignment horizontal="left"/>
    </xf>
    <xf numFmtId="0" fontId="14" fillId="5" borderId="0" xfId="0" applyFont="1" applyFill="1" applyAlignment="1">
      <alignment vertical="center"/>
    </xf>
    <xf numFmtId="0" fontId="14" fillId="5" borderId="0" xfId="0" applyFont="1" applyFill="1" applyAlignment="1">
      <alignment vertical="center" wrapText="1"/>
    </xf>
    <xf numFmtId="0" fontId="15" fillId="2" borderId="2" xfId="0" applyFont="1" applyFill="1" applyBorder="1" applyAlignment="1">
      <alignment horizontal="left" vertical="center"/>
    </xf>
    <xf numFmtId="0" fontId="15" fillId="2" borderId="1" xfId="0" applyFont="1" applyFill="1" applyBorder="1" applyAlignment="1">
      <alignment horizontal="left" vertical="center"/>
    </xf>
    <xf numFmtId="2" fontId="15" fillId="2" borderId="1" xfId="0" applyNumberFormat="1" applyFont="1" applyFill="1" applyBorder="1" applyAlignment="1">
      <alignment horizontal="left" vertical="center"/>
    </xf>
    <xf numFmtId="0" fontId="15" fillId="2" borderId="1" xfId="0" applyFont="1" applyFill="1" applyBorder="1"/>
    <xf numFmtId="2" fontId="0" fillId="5" borderId="5" xfId="0" applyNumberFormat="1" applyFill="1" applyBorder="1" applyAlignment="1">
      <alignment horizontal="left" vertical="center"/>
    </xf>
    <xf numFmtId="2" fontId="15" fillId="5" borderId="21" xfId="0" applyNumberFormat="1" applyFont="1" applyFill="1" applyBorder="1" applyAlignment="1">
      <alignment horizontal="left" vertical="center"/>
    </xf>
    <xf numFmtId="2" fontId="0" fillId="5" borderId="2" xfId="0" applyNumberFormat="1" applyFill="1" applyBorder="1" applyAlignment="1">
      <alignment horizontal="left" vertical="center"/>
    </xf>
    <xf numFmtId="2" fontId="11" fillId="4" borderId="20" xfId="0" applyNumberFormat="1" applyFont="1" applyFill="1" applyBorder="1" applyAlignment="1">
      <alignment horizontal="right"/>
    </xf>
    <xf numFmtId="2" fontId="15" fillId="4" borderId="0" xfId="0" applyNumberFormat="1" applyFont="1" applyFill="1" applyAlignment="1">
      <alignment horizontal="left"/>
    </xf>
    <xf numFmtId="2" fontId="15" fillId="3" borderId="22" xfId="0" applyNumberFormat="1" applyFont="1" applyFill="1" applyBorder="1" applyAlignment="1" applyProtection="1">
      <alignment horizontal="left"/>
      <protection locked="0"/>
    </xf>
    <xf numFmtId="0" fontId="0" fillId="2" borderId="0" xfId="0" applyFill="1" applyAlignment="1">
      <alignment horizontal="left" vertical="center"/>
    </xf>
    <xf numFmtId="0" fontId="15" fillId="5" borderId="2" xfId="0" applyFont="1" applyFill="1" applyBorder="1" applyAlignment="1">
      <alignment horizontal="left" vertical="center" wrapText="1"/>
    </xf>
    <xf numFmtId="0" fontId="15" fillId="5" borderId="2" xfId="0" applyFont="1" applyFill="1" applyBorder="1" applyAlignment="1" applyProtection="1">
      <alignment horizontal="left" vertical="center"/>
      <protection hidden="1"/>
    </xf>
    <xf numFmtId="2" fontId="13" fillId="5" borderId="5" xfId="0" applyNumberFormat="1" applyFont="1" applyFill="1" applyBorder="1" applyAlignment="1">
      <alignment horizontal="left" vertical="center"/>
    </xf>
    <xf numFmtId="2" fontId="13" fillId="5" borderId="0" xfId="0" applyNumberFormat="1" applyFont="1" applyFill="1" applyAlignment="1">
      <alignment horizontal="left" vertical="center"/>
    </xf>
    <xf numFmtId="2" fontId="3" fillId="5" borderId="5" xfId="0" applyNumberFormat="1" applyFont="1" applyFill="1" applyBorder="1" applyAlignment="1">
      <alignment horizontal="left" vertical="center"/>
    </xf>
    <xf numFmtId="2" fontId="13" fillId="5" borderId="2" xfId="0" applyNumberFormat="1" applyFont="1" applyFill="1" applyBorder="1" applyAlignment="1">
      <alignment horizontal="left" vertical="center"/>
    </xf>
    <xf numFmtId="2" fontId="13" fillId="2" borderId="0" xfId="0" applyNumberFormat="1" applyFont="1" applyFill="1" applyAlignment="1">
      <alignment horizontal="left" vertical="center"/>
    </xf>
    <xf numFmtId="0" fontId="11" fillId="5" borderId="3" xfId="0" applyFont="1" applyFill="1" applyBorder="1" applyAlignment="1">
      <alignment horizontal="left" vertical="center"/>
    </xf>
    <xf numFmtId="0" fontId="11" fillId="2" borderId="23" xfId="0" applyFont="1" applyFill="1" applyBorder="1" applyAlignment="1">
      <alignment horizontal="left" vertical="center" wrapText="1"/>
    </xf>
    <xf numFmtId="2" fontId="15" fillId="4" borderId="24" xfId="0" applyNumberFormat="1" applyFont="1" applyFill="1" applyBorder="1" applyAlignment="1">
      <alignment horizontal="left"/>
    </xf>
    <xf numFmtId="2" fontId="15" fillId="4" borderId="20" xfId="0" applyNumberFormat="1" applyFont="1" applyFill="1" applyBorder="1" applyAlignment="1">
      <alignment horizontal="left"/>
    </xf>
    <xf numFmtId="2" fontId="15" fillId="4" borderId="23" xfId="0" applyNumberFormat="1" applyFont="1" applyFill="1" applyBorder="1" applyAlignment="1">
      <alignment horizontal="left"/>
    </xf>
    <xf numFmtId="0" fontId="15" fillId="4" borderId="13" xfId="0" applyFont="1" applyFill="1" applyBorder="1" applyAlignment="1">
      <alignment horizontal="center" vertical="center" wrapText="1"/>
    </xf>
    <xf numFmtId="0" fontId="23" fillId="2" borderId="0" xfId="0" applyFont="1" applyFill="1"/>
    <xf numFmtId="0" fontId="0" fillId="5" borderId="5" xfId="0" applyFill="1" applyBorder="1"/>
    <xf numFmtId="0" fontId="0" fillId="5" borderId="0" xfId="0" applyFill="1" applyAlignment="1">
      <alignment horizontal="left" vertical="center"/>
    </xf>
    <xf numFmtId="0" fontId="0" fillId="5" borderId="10" xfId="0" applyFill="1" applyBorder="1"/>
    <xf numFmtId="2" fontId="0" fillId="5" borderId="10" xfId="0" applyNumberFormat="1" applyFill="1" applyBorder="1" applyAlignment="1">
      <alignment horizontal="left" vertical="center"/>
    </xf>
    <xf numFmtId="2" fontId="13" fillId="3" borderId="16" xfId="0" applyNumberFormat="1" applyFont="1" applyFill="1" applyBorder="1" applyAlignment="1" applyProtection="1">
      <alignment horizontal="left"/>
      <protection locked="0"/>
    </xf>
    <xf numFmtId="2" fontId="13" fillId="3" borderId="16" xfId="0" applyNumberFormat="1" applyFont="1" applyFill="1" applyBorder="1" applyAlignment="1" applyProtection="1">
      <alignment horizontal="left" vertical="center"/>
      <protection locked="0"/>
    </xf>
    <xf numFmtId="2" fontId="12" fillId="3" borderId="16" xfId="0" applyNumberFormat="1" applyFont="1" applyFill="1" applyBorder="1" applyAlignment="1" applyProtection="1">
      <alignment horizontal="left" vertical="center"/>
      <protection locked="0"/>
    </xf>
    <xf numFmtId="2" fontId="13" fillId="3" borderId="18" xfId="0" applyNumberFormat="1" applyFont="1" applyFill="1" applyBorder="1" applyAlignment="1" applyProtection="1">
      <alignment horizontal="left"/>
      <protection locked="0"/>
    </xf>
    <xf numFmtId="0" fontId="15" fillId="5" borderId="8" xfId="0" applyFont="1" applyFill="1" applyBorder="1" applyAlignment="1" applyProtection="1">
      <alignment horizontal="left" vertical="center"/>
      <protection hidden="1"/>
    </xf>
    <xf numFmtId="0" fontId="0" fillId="5" borderId="15" xfId="0" applyFill="1" applyBorder="1"/>
    <xf numFmtId="0" fontId="15" fillId="2" borderId="10" xfId="0" applyFont="1" applyFill="1" applyBorder="1" applyAlignment="1">
      <alignment horizontal="left" vertical="top" wrapText="1" indent="2"/>
    </xf>
    <xf numFmtId="0" fontId="15" fillId="2" borderId="10" xfId="0" applyFont="1" applyFill="1" applyBorder="1" applyAlignment="1">
      <alignment horizontal="left" vertical="top" indent="2"/>
    </xf>
    <xf numFmtId="0" fontId="0" fillId="2" borderId="8" xfId="0" applyFill="1" applyBorder="1" applyAlignment="1">
      <alignment horizontal="left" vertical="top" indent="2"/>
    </xf>
    <xf numFmtId="0" fontId="0" fillId="2" borderId="7" xfId="0" applyFill="1" applyBorder="1" applyAlignment="1">
      <alignment horizontal="left" vertical="top" indent="2"/>
    </xf>
    <xf numFmtId="0" fontId="0" fillId="2" borderId="9" xfId="0" applyFill="1" applyBorder="1"/>
    <xf numFmtId="0" fontId="0" fillId="2" borderId="10" xfId="0" applyFill="1" applyBorder="1" applyAlignment="1">
      <alignment horizontal="left" vertical="top" indent="2"/>
    </xf>
    <xf numFmtId="0" fontId="0" fillId="2" borderId="0" xfId="0" applyFill="1" applyAlignment="1">
      <alignment horizontal="left" vertical="top" indent="2"/>
    </xf>
    <xf numFmtId="0" fontId="0" fillId="3" borderId="0" xfId="0" applyFill="1" applyAlignment="1">
      <alignment horizontal="left" vertical="top" indent="2"/>
    </xf>
    <xf numFmtId="0" fontId="15" fillId="2" borderId="0" xfId="0" applyFont="1" applyFill="1" applyAlignment="1">
      <alignment horizontal="left" vertical="top"/>
    </xf>
    <xf numFmtId="0" fontId="0" fillId="4" borderId="0" xfId="0" applyFill="1" applyAlignment="1">
      <alignment horizontal="left" vertical="top" indent="2"/>
    </xf>
    <xf numFmtId="0" fontId="0" fillId="5" borderId="0" xfId="0" applyFill="1" applyAlignment="1">
      <alignment horizontal="left" vertical="top" indent="2"/>
    </xf>
    <xf numFmtId="0" fontId="41" fillId="5" borderId="0" xfId="1" applyFont="1" applyFill="1" applyBorder="1"/>
    <xf numFmtId="0" fontId="41" fillId="5" borderId="0" xfId="1" quotePrefix="1" applyFont="1" applyFill="1" applyBorder="1"/>
    <xf numFmtId="0" fontId="15" fillId="2" borderId="0" xfId="0" applyFont="1" applyFill="1" applyAlignment="1">
      <alignment horizontal="left" vertical="top" indent="2"/>
    </xf>
    <xf numFmtId="0" fontId="15" fillId="2" borderId="0" xfId="0" applyFont="1" applyFill="1" applyAlignment="1">
      <alignment horizontal="left" vertical="top" wrapText="1" indent="2"/>
    </xf>
    <xf numFmtId="0" fontId="15" fillId="5" borderId="0" xfId="0" applyFont="1" applyFill="1" applyAlignment="1">
      <alignment horizontal="left" vertical="top" indent="2"/>
    </xf>
    <xf numFmtId="0" fontId="0" fillId="5" borderId="7" xfId="0" applyFill="1" applyBorder="1"/>
    <xf numFmtId="0" fontId="0" fillId="6" borderId="0" xfId="0" applyFill="1"/>
    <xf numFmtId="0" fontId="15" fillId="3" borderId="0" xfId="0" applyFont="1" applyFill="1" applyAlignment="1" applyProtection="1">
      <alignment horizontal="left"/>
      <protection locked="0"/>
    </xf>
    <xf numFmtId="2" fontId="15" fillId="3" borderId="16" xfId="0" applyNumberFormat="1" applyFont="1" applyFill="1" applyBorder="1" applyAlignment="1" applyProtection="1">
      <alignment horizontal="left"/>
      <protection locked="0"/>
    </xf>
    <xf numFmtId="2" fontId="15" fillId="4" borderId="13" xfId="0" applyNumberFormat="1" applyFont="1" applyFill="1" applyBorder="1" applyAlignment="1">
      <alignment horizontal="left"/>
    </xf>
    <xf numFmtId="0" fontId="15" fillId="3" borderId="19" xfId="0" applyFont="1" applyFill="1" applyBorder="1" applyAlignment="1" applyProtection="1">
      <alignment horizontal="left"/>
      <protection locked="0"/>
    </xf>
    <xf numFmtId="0" fontId="16" fillId="0" borderId="11" xfId="0" applyFont="1" applyBorder="1" applyAlignment="1">
      <alignment horizontal="left" vertical="top" wrapText="1" indent="2"/>
    </xf>
    <xf numFmtId="0" fontId="16" fillId="0" borderId="1" xfId="0" applyFont="1" applyBorder="1" applyAlignment="1">
      <alignment horizontal="left" vertical="top" wrapText="1" indent="2"/>
    </xf>
    <xf numFmtId="0" fontId="37" fillId="6" borderId="8" xfId="0" applyFont="1" applyFill="1" applyBorder="1" applyAlignment="1">
      <alignment horizontal="left" vertical="center" indent="2"/>
    </xf>
    <xf numFmtId="0" fontId="37" fillId="6" borderId="7" xfId="0" applyFont="1" applyFill="1" applyBorder="1" applyAlignment="1">
      <alignment horizontal="left" vertical="center" indent="2"/>
    </xf>
    <xf numFmtId="0" fontId="37" fillId="6" borderId="9" xfId="0" applyFont="1" applyFill="1" applyBorder="1" applyAlignment="1">
      <alignment horizontal="left" vertical="center" indent="2"/>
    </xf>
    <xf numFmtId="0" fontId="37" fillId="6" borderId="10" xfId="0" applyFont="1" applyFill="1" applyBorder="1" applyAlignment="1">
      <alignment horizontal="left" vertical="center" indent="2"/>
    </xf>
    <xf numFmtId="0" fontId="37" fillId="6" borderId="0" xfId="0" applyFont="1" applyFill="1" applyAlignment="1">
      <alignment horizontal="left" vertical="center" indent="2"/>
    </xf>
    <xf numFmtId="0" fontId="37" fillId="6" borderId="2" xfId="0" applyFont="1" applyFill="1" applyBorder="1" applyAlignment="1">
      <alignment horizontal="left" vertical="center" indent="2"/>
    </xf>
    <xf numFmtId="0" fontId="15" fillId="2" borderId="10" xfId="0" applyFont="1" applyFill="1" applyBorder="1" applyAlignment="1">
      <alignment horizontal="left" wrapText="1" indent="2"/>
    </xf>
    <xf numFmtId="0" fontId="15" fillId="2" borderId="0" xfId="0" applyFont="1" applyFill="1" applyAlignment="1">
      <alignment horizontal="left" wrapText="1" indent="2"/>
    </xf>
    <xf numFmtId="0" fontId="16" fillId="0" borderId="10" xfId="0" applyFont="1" applyBorder="1" applyAlignment="1">
      <alignment horizontal="left" wrapText="1" indent="2"/>
    </xf>
    <xf numFmtId="0" fontId="16" fillId="0" borderId="0" xfId="0" applyFont="1" applyAlignment="1">
      <alignment horizontal="left" wrapText="1" indent="2"/>
    </xf>
    <xf numFmtId="0" fontId="16" fillId="2" borderId="10" xfId="0" applyFont="1" applyFill="1" applyBorder="1" applyAlignment="1">
      <alignment horizontal="left" wrapText="1" indent="2"/>
    </xf>
    <xf numFmtId="0" fontId="16" fillId="2" borderId="0" xfId="0" applyFont="1" applyFill="1" applyAlignment="1">
      <alignment horizontal="left" wrapText="1" indent="2"/>
    </xf>
    <xf numFmtId="0" fontId="34" fillId="6" borderId="0" xfId="0" applyFont="1" applyFill="1" applyAlignment="1">
      <alignment horizontal="left" vertical="center" indent="2"/>
    </xf>
    <xf numFmtId="0" fontId="32" fillId="0" borderId="10" xfId="0" applyFont="1" applyBorder="1" applyAlignment="1">
      <alignment horizontal="left" vertical="top" indent="2"/>
    </xf>
    <xf numFmtId="0" fontId="32" fillId="0" borderId="0" xfId="0" applyFont="1" applyAlignment="1">
      <alignment horizontal="left" vertical="top" indent="2"/>
    </xf>
    <xf numFmtId="0" fontId="16" fillId="0" borderId="10" xfId="0" applyFont="1" applyBorder="1" applyAlignment="1">
      <alignment horizontal="left" vertical="top" indent="2"/>
    </xf>
    <xf numFmtId="0" fontId="16" fillId="0" borderId="0" xfId="0" applyFont="1" applyAlignment="1">
      <alignment horizontal="left" vertical="top" indent="2"/>
    </xf>
    <xf numFmtId="0" fontId="16" fillId="0" borderId="0" xfId="0" applyFont="1" applyAlignment="1">
      <alignment horizontal="left" vertical="top" wrapText="1" indent="2"/>
    </xf>
    <xf numFmtId="0" fontId="11" fillId="2" borderId="10" xfId="0" applyFont="1" applyFill="1" applyBorder="1" applyAlignment="1">
      <alignment horizontal="left" vertical="top" wrapText="1" indent="2"/>
    </xf>
    <xf numFmtId="0" fontId="11" fillId="2" borderId="0" xfId="0" applyFont="1" applyFill="1" applyAlignment="1">
      <alignment horizontal="left" vertical="top" wrapText="1" indent="2"/>
    </xf>
    <xf numFmtId="0" fontId="15" fillId="2" borderId="10" xfId="0" applyFont="1" applyFill="1" applyBorder="1" applyAlignment="1">
      <alignment horizontal="left" vertical="top" indent="2"/>
    </xf>
    <xf numFmtId="0" fontId="15" fillId="2" borderId="0" xfId="0" applyFont="1" applyFill="1" applyAlignment="1">
      <alignment horizontal="left" vertical="top" indent="2"/>
    </xf>
    <xf numFmtId="0" fontId="16" fillId="2" borderId="0" xfId="0" applyFont="1" applyFill="1" applyAlignment="1">
      <alignment horizontal="left" vertical="top" wrapText="1" indent="2"/>
    </xf>
    <xf numFmtId="0" fontId="15" fillId="2" borderId="10" xfId="0" applyFont="1" applyFill="1" applyBorder="1" applyAlignment="1">
      <alignment horizontal="left" vertical="top" wrapText="1" indent="2"/>
    </xf>
    <xf numFmtId="0" fontId="15" fillId="2" borderId="0" xfId="0" applyFont="1" applyFill="1" applyAlignment="1">
      <alignment horizontal="left" vertical="top" wrapText="1" indent="2"/>
    </xf>
    <xf numFmtId="0" fontId="31" fillId="0" borderId="10" xfId="0" applyFont="1" applyBorder="1" applyAlignment="1">
      <alignment horizontal="left" vertical="center" indent="2"/>
    </xf>
    <xf numFmtId="0" fontId="31" fillId="0" borderId="0" xfId="0" applyFont="1" applyAlignment="1">
      <alignment horizontal="left" vertical="center" indent="2"/>
    </xf>
    <xf numFmtId="0" fontId="11" fillId="2" borderId="2" xfId="0" applyFont="1" applyFill="1" applyBorder="1" applyAlignment="1">
      <alignment horizontal="left" vertical="top" wrapText="1" indent="2"/>
    </xf>
    <xf numFmtId="0" fontId="33" fillId="2" borderId="0" xfId="1" applyFont="1" applyFill="1" applyAlignment="1" applyProtection="1">
      <protection locked="0"/>
    </xf>
    <xf numFmtId="0" fontId="33" fillId="0" borderId="0" xfId="1" applyFont="1" applyAlignment="1" applyProtection="1">
      <protection locked="0"/>
    </xf>
    <xf numFmtId="0" fontId="33" fillId="2" borderId="0" xfId="1" applyFont="1" applyFill="1" applyAlignment="1" applyProtection="1"/>
    <xf numFmtId="14" fontId="15" fillId="3" borderId="12" xfId="0" applyNumberFormat="1" applyFont="1" applyFill="1" applyBorder="1" applyAlignment="1" applyProtection="1">
      <alignment horizontal="left" vertical="center" wrapText="1"/>
      <protection locked="0"/>
    </xf>
    <xf numFmtId="0" fontId="15" fillId="3" borderId="14" xfId="0" applyFont="1" applyFill="1" applyBorder="1" applyAlignment="1" applyProtection="1">
      <alignment horizontal="left" vertical="center" wrapText="1"/>
      <protection locked="0"/>
    </xf>
    <xf numFmtId="0" fontId="15" fillId="3" borderId="13" xfId="0" applyFont="1" applyFill="1" applyBorder="1" applyAlignment="1" applyProtection="1">
      <alignment horizontal="left" vertical="center" wrapText="1"/>
      <protection locked="0"/>
    </xf>
    <xf numFmtId="0" fontId="37" fillId="6" borderId="10" xfId="0" applyFont="1" applyFill="1" applyBorder="1" applyAlignment="1">
      <alignment horizontal="left" vertical="center" indent="3"/>
    </xf>
    <xf numFmtId="0" fontId="37" fillId="6" borderId="0" xfId="0" applyFont="1" applyFill="1" applyAlignment="1">
      <alignment horizontal="left" vertical="center" indent="3"/>
    </xf>
    <xf numFmtId="0" fontId="37" fillId="6" borderId="2" xfId="0" applyFont="1" applyFill="1" applyBorder="1" applyAlignment="1">
      <alignment horizontal="left" vertical="center" indent="3"/>
    </xf>
    <xf numFmtId="0" fontId="28" fillId="2" borderId="0" xfId="0" applyFont="1" applyFill="1" applyAlignment="1">
      <alignment horizontal="center"/>
    </xf>
    <xf numFmtId="0" fontId="11" fillId="2" borderId="0" xfId="0" applyFont="1" applyFill="1" applyAlignment="1">
      <alignment horizontal="center" vertical="center" wrapText="1"/>
    </xf>
    <xf numFmtId="0" fontId="36" fillId="2" borderId="0" xfId="0" applyFont="1" applyFill="1" applyAlignment="1">
      <alignment horizontal="center"/>
    </xf>
    <xf numFmtId="0" fontId="12" fillId="2" borderId="0" xfId="0" applyFont="1" applyFill="1" applyAlignment="1">
      <alignment horizontal="left" vertical="center" wrapText="1"/>
    </xf>
    <xf numFmtId="0" fontId="11" fillId="2" borderId="12" xfId="0" applyFont="1" applyFill="1" applyBorder="1" applyAlignment="1">
      <alignment horizontal="left"/>
    </xf>
    <xf numFmtId="0" fontId="12" fillId="2" borderId="14" xfId="0" applyFont="1" applyFill="1" applyBorder="1" applyAlignment="1">
      <alignment horizontal="left" vertical="center" wrapText="1"/>
    </xf>
    <xf numFmtId="0" fontId="36" fillId="2" borderId="0" xfId="0" applyFont="1" applyFill="1" applyAlignment="1">
      <alignment horizontal="center" vertical="center"/>
    </xf>
    <xf numFmtId="0" fontId="37" fillId="6" borderId="8" xfId="0" applyFont="1" applyFill="1" applyBorder="1" applyAlignment="1">
      <alignment horizontal="left" vertical="center" indent="3"/>
    </xf>
    <xf numFmtId="0" fontId="37" fillId="6" borderId="7" xfId="0" applyFont="1" applyFill="1" applyBorder="1" applyAlignment="1">
      <alignment horizontal="left" vertical="center" indent="3"/>
    </xf>
    <xf numFmtId="0" fontId="37" fillId="6" borderId="9" xfId="0" applyFont="1" applyFill="1" applyBorder="1" applyAlignment="1">
      <alignment horizontal="left" vertical="center" indent="3"/>
    </xf>
    <xf numFmtId="0" fontId="25" fillId="2" borderId="0" xfId="0" applyFont="1" applyFill="1" applyAlignment="1">
      <alignment horizontal="center" vertical="top"/>
    </xf>
    <xf numFmtId="0" fontId="11" fillId="2" borderId="0" xfId="0" applyFont="1" applyFill="1" applyAlignment="1">
      <alignment horizontal="left" vertical="center" wrapText="1"/>
    </xf>
    <xf numFmtId="2" fontId="20" fillId="2" borderId="0" xfId="0" applyNumberFormat="1" applyFont="1" applyFill="1" applyAlignment="1">
      <alignment horizontal="center" vertical="center"/>
    </xf>
    <xf numFmtId="2" fontId="20" fillId="4" borderId="0" xfId="0" applyNumberFormat="1" applyFont="1" applyFill="1" applyAlignment="1">
      <alignment horizontal="center" vertical="center"/>
    </xf>
  </cellXfs>
  <cellStyles count="2">
    <cellStyle name="Hyperlink" xfId="1" builtinId="8"/>
    <cellStyle name="Normal" xfId="0" builtinId="0"/>
  </cellStyles>
  <dxfs count="10">
    <dxf>
      <fill>
        <patternFill>
          <bgColor rgb="FFF7E8BE"/>
        </patternFill>
      </fill>
    </dxf>
    <dxf>
      <fill>
        <patternFill>
          <bgColor rgb="FFF7E8BE"/>
        </patternFill>
      </fill>
    </dxf>
    <dxf>
      <fill>
        <patternFill>
          <bgColor rgb="FFF7E8BE"/>
        </patternFill>
      </fill>
    </dxf>
    <dxf>
      <fill>
        <patternFill>
          <fgColor rgb="FFF7E8BE"/>
          <bgColor rgb="FFF7E8BE"/>
        </patternFill>
      </fill>
    </dxf>
    <dxf>
      <fill>
        <patternFill>
          <fgColor rgb="FFF7E8BE"/>
          <bgColor rgb="FFF7E8BE"/>
        </patternFill>
      </fill>
    </dxf>
    <dxf>
      <fill>
        <patternFill patternType="solid">
          <fgColor rgb="FFF7E8BE"/>
          <bgColor rgb="FFF7E8BE"/>
        </patternFill>
      </fill>
    </dxf>
    <dxf>
      <fill>
        <patternFill>
          <bgColor theme="0"/>
        </patternFill>
      </fill>
    </dxf>
    <dxf>
      <font>
        <b val="0"/>
        <i val="0"/>
        <strike val="0"/>
        <color auto="1"/>
      </font>
      <fill>
        <patternFill>
          <fgColor rgb="FFF7E8BE"/>
          <bgColor rgb="FFF7E8BE"/>
        </patternFill>
      </fill>
    </dxf>
    <dxf>
      <numFmt numFmtId="0" formatCode="General"/>
      <fill>
        <patternFill>
          <bgColor rgb="FF9DD3BE"/>
        </patternFill>
      </fill>
      <border>
        <left/>
        <right/>
        <top/>
        <bottom/>
      </border>
    </dxf>
    <dxf>
      <font>
        <strike val="0"/>
        <color theme="0"/>
      </font>
    </dxf>
  </dxfs>
  <tableStyles count="0" defaultTableStyle="TableStyleMedium2" defaultPivotStyle="PivotStyleLight16"/>
  <colors>
    <mruColors>
      <color rgb="FF449669"/>
      <color rgb="FFF7E8BE"/>
      <color rgb="FF9DD3BE"/>
      <color rgb="FFAAC7EE"/>
      <color rgb="FFF3EEDD"/>
      <color rgb="FF9DDBBE"/>
      <color rgb="FFC5C5C5"/>
      <color rgb="FFC5C1C7"/>
      <color rgb="FFE0CBFD"/>
      <color rgb="FFFECE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ee.ricardo.com/" TargetMode="External"/><Relationship Id="rId1" Type="http://schemas.openxmlformats.org/officeDocument/2006/relationships/image" Target="../media/image1.jpg"/><Relationship Id="rId6" Type="http://schemas.openxmlformats.org/officeDocument/2006/relationships/hyperlink" Target="#'River Avon SAC'!A1"/><Relationship Id="rId5" Type="http://schemas.openxmlformats.org/officeDocument/2006/relationships/image" Target="../media/image3.png"/><Relationship Id="rId4" Type="http://schemas.openxmlformats.org/officeDocument/2006/relationships/hyperlink" Target="https://www.gov.uk/government/organisations/natural-england"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10" Type="http://schemas.openxmlformats.org/officeDocument/2006/relationships/image" Target="../media/image11.png"/><Relationship Id="rId4" Type="http://schemas.openxmlformats.org/officeDocument/2006/relationships/image" Target="../media/image7.png"/><Relationship Id="rId9" Type="http://schemas.openxmlformats.org/officeDocument/2006/relationships/image" Target="../media/image10.png"/></Relationships>
</file>

<file path=xl/drawings/_rels/drawing5.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hyperlink" Target="#'Stage 3'!A1"/><Relationship Id="rId7" Type="http://schemas.openxmlformats.org/officeDocument/2006/relationships/hyperlink" Target="#'Stage 4'!A1"/><Relationship Id="rId2" Type="http://schemas.openxmlformats.org/officeDocument/2006/relationships/image" Target="../media/image6.png"/><Relationship Id="rId1" Type="http://schemas.openxmlformats.org/officeDocument/2006/relationships/hyperlink" Target="#'Stage 1'!A1"/><Relationship Id="rId6" Type="http://schemas.openxmlformats.org/officeDocument/2006/relationships/image" Target="../media/image8.png"/><Relationship Id="rId5" Type="http://schemas.openxmlformats.org/officeDocument/2006/relationships/hyperlink" Target="#'Stage 2'!A1"/><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11</xdr:col>
      <xdr:colOff>342899</xdr:colOff>
      <xdr:row>1</xdr:row>
      <xdr:rowOff>178594</xdr:rowOff>
    </xdr:from>
    <xdr:to>
      <xdr:col>19</xdr:col>
      <xdr:colOff>130174</xdr:colOff>
      <xdr:row>10</xdr:row>
      <xdr:rowOff>219075</xdr:rowOff>
    </xdr:to>
    <xdr:pic>
      <xdr:nvPicPr>
        <xdr:cNvPr id="4" name="Picture 3">
          <a:extLst>
            <a:ext uri="{FF2B5EF4-FFF2-40B4-BE49-F238E27FC236}">
              <a16:creationId xmlns:a16="http://schemas.microsoft.com/office/drawing/2014/main" id="{675CF9A5-3409-45D3-88B2-34CF227576D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899" y="540544"/>
          <a:ext cx="4397375" cy="3298031"/>
        </a:xfrm>
        <a:prstGeom prst="rect">
          <a:avLst/>
        </a:prstGeom>
        <a:effectLst>
          <a:outerShdw blurRad="63500" sx="102000" sy="102000" algn="ctr" rotWithShape="0">
            <a:prstClr val="black">
              <a:alpha val="40000"/>
            </a:prstClr>
          </a:outerShdw>
        </a:effectLst>
      </xdr:spPr>
    </xdr:pic>
    <xdr:clientData/>
  </xdr:twoCellAnchor>
  <xdr:twoCellAnchor editAs="oneCell">
    <xdr:from>
      <xdr:col>3</xdr:col>
      <xdr:colOff>0</xdr:colOff>
      <xdr:row>6</xdr:row>
      <xdr:rowOff>0</xdr:rowOff>
    </xdr:from>
    <xdr:to>
      <xdr:col>3</xdr:col>
      <xdr:colOff>304800</xdr:colOff>
      <xdr:row>6</xdr:row>
      <xdr:rowOff>304800</xdr:rowOff>
    </xdr:to>
    <xdr:sp macro="" textlink="">
      <xdr:nvSpPr>
        <xdr:cNvPr id="6146" name="AutoShape 2">
          <a:extLst>
            <a:ext uri="{FF2B5EF4-FFF2-40B4-BE49-F238E27FC236}">
              <a16:creationId xmlns:a16="http://schemas.microsoft.com/office/drawing/2014/main" id="{F3FA525F-6FDB-4BEA-9A2F-1AB579041DD2}"/>
            </a:ext>
          </a:extLst>
        </xdr:cNvPr>
        <xdr:cNvSpPr>
          <a:spLocks noChangeAspect="1" noChangeArrowheads="1"/>
        </xdr:cNvSpPr>
      </xdr:nvSpPr>
      <xdr:spPr bwMode="auto">
        <a:xfrm>
          <a:off x="1828800" y="1143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5</xdr:row>
      <xdr:rowOff>304800</xdr:rowOff>
    </xdr:to>
    <xdr:sp macro="" textlink="">
      <xdr:nvSpPr>
        <xdr:cNvPr id="6147" name="AutoShape 3">
          <a:extLst>
            <a:ext uri="{FF2B5EF4-FFF2-40B4-BE49-F238E27FC236}">
              <a16:creationId xmlns:a16="http://schemas.microsoft.com/office/drawing/2014/main" id="{B140DEB8-F359-4454-A33D-7ED25CD52F5B}"/>
            </a:ext>
          </a:extLst>
        </xdr:cNvPr>
        <xdr:cNvSpPr>
          <a:spLocks noChangeAspect="1" noChangeArrowheads="1"/>
        </xdr:cNvSpPr>
      </xdr:nvSpPr>
      <xdr:spPr bwMode="auto">
        <a:xfrm>
          <a:off x="3048000" y="952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38100</xdr:colOff>
      <xdr:row>1</xdr:row>
      <xdr:rowOff>152400</xdr:rowOff>
    </xdr:from>
    <xdr:to>
      <xdr:col>10</xdr:col>
      <xdr:colOff>346496</xdr:colOff>
      <xdr:row>4</xdr:row>
      <xdr:rowOff>275931</xdr:rowOff>
    </xdr:to>
    <xdr:pic>
      <xdr:nvPicPr>
        <xdr:cNvPr id="7" name="Picture 6">
          <a:hlinkClick xmlns:r="http://schemas.openxmlformats.org/officeDocument/2006/relationships" r:id="rId2"/>
          <a:extLst>
            <a:ext uri="{FF2B5EF4-FFF2-40B4-BE49-F238E27FC236}">
              <a16:creationId xmlns:a16="http://schemas.microsoft.com/office/drawing/2014/main" id="{A94DD4AD-3EEA-416C-B2EF-2E02AD1905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4100" y="514350"/>
          <a:ext cx="1832396" cy="1209381"/>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180976</xdr:colOff>
      <xdr:row>1</xdr:row>
      <xdr:rowOff>180975</xdr:rowOff>
    </xdr:from>
    <xdr:to>
      <xdr:col>4</xdr:col>
      <xdr:colOff>180975</xdr:colOff>
      <xdr:row>4</xdr:row>
      <xdr:rowOff>240510</xdr:rowOff>
    </xdr:to>
    <xdr:pic>
      <xdr:nvPicPr>
        <xdr:cNvPr id="10" name="Picture 9">
          <a:hlinkClick xmlns:r="http://schemas.openxmlformats.org/officeDocument/2006/relationships" r:id="rId4"/>
          <a:extLst>
            <a:ext uri="{FF2B5EF4-FFF2-40B4-BE49-F238E27FC236}">
              <a16:creationId xmlns:a16="http://schemas.microsoft.com/office/drawing/2014/main" id="{E2204205-FAF5-4B6B-A86F-01A92D2D6BB3}"/>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3333" t="2000" r="23445" b="2000"/>
        <a:stretch/>
      </xdr:blipFill>
      <xdr:spPr bwMode="auto">
        <a:xfrm>
          <a:off x="561976" y="542925"/>
          <a:ext cx="1142999" cy="1145385"/>
        </a:xfrm>
        <a:prstGeom prst="rect">
          <a:avLst/>
        </a:prstGeom>
        <a:noFill/>
        <a:effectLst>
          <a:outerShdw blurRad="63500" sx="102000" sy="102000" algn="ctr"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200024</xdr:colOff>
      <xdr:row>5</xdr:row>
      <xdr:rowOff>133351</xdr:rowOff>
    </xdr:from>
    <xdr:to>
      <xdr:col>11</xdr:col>
      <xdr:colOff>76199</xdr:colOff>
      <xdr:row>7</xdr:row>
      <xdr:rowOff>76200</xdr:rowOff>
    </xdr:to>
    <xdr:sp macro="" textlink="">
      <xdr:nvSpPr>
        <xdr:cNvPr id="8" name="TextBox 7">
          <a:extLst>
            <a:ext uri="{FF2B5EF4-FFF2-40B4-BE49-F238E27FC236}">
              <a16:creationId xmlns:a16="http://schemas.microsoft.com/office/drawing/2014/main" id="{2BC5E90D-F7DB-474F-BF74-1B4BF980360F}"/>
            </a:ext>
          </a:extLst>
        </xdr:cNvPr>
        <xdr:cNvSpPr txBox="1"/>
      </xdr:nvSpPr>
      <xdr:spPr>
        <a:xfrm>
          <a:off x="581024" y="1943101"/>
          <a:ext cx="3686175" cy="666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latin typeface="Century Gothic" panose="020B0502020202020204" pitchFamily="34" charset="0"/>
              <a:ea typeface="Segoe UI" panose="020B0502040204020203" pitchFamily="34" charset="0"/>
              <a:cs typeface="Segoe UI" panose="020B0502040204020203" pitchFamily="34" charset="0"/>
            </a:rPr>
            <a:t>Nutrient Neutrality Budget Calculator </a:t>
          </a: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3</xdr:col>
      <xdr:colOff>247649</xdr:colOff>
      <xdr:row>8</xdr:row>
      <xdr:rowOff>314326</xdr:rowOff>
    </xdr:from>
    <xdr:to>
      <xdr:col>9</xdr:col>
      <xdr:colOff>28575</xdr:colOff>
      <xdr:row>9</xdr:row>
      <xdr:rowOff>348376</xdr:rowOff>
    </xdr:to>
    <xdr:sp macro="" textlink="">
      <xdr:nvSpPr>
        <xdr:cNvPr id="16" name="TextBox 15">
          <a:hlinkClick xmlns:r="http://schemas.openxmlformats.org/officeDocument/2006/relationships" r:id="rId6"/>
          <a:extLst>
            <a:ext uri="{FF2B5EF4-FFF2-40B4-BE49-F238E27FC236}">
              <a16:creationId xmlns:a16="http://schemas.microsoft.com/office/drawing/2014/main" id="{DA266339-9600-4E62-B26B-3BF11ACB0CB9}"/>
            </a:ext>
          </a:extLst>
        </xdr:cNvPr>
        <xdr:cNvSpPr txBox="1"/>
      </xdr:nvSpPr>
      <xdr:spPr>
        <a:xfrm>
          <a:off x="1390649" y="3209926"/>
          <a:ext cx="2066926"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800" b="1">
              <a:solidFill>
                <a:srgbClr val="449669"/>
              </a:solidFill>
              <a:effectLst/>
              <a:latin typeface="Century Gothic" panose="020B0502020202020204" pitchFamily="34" charset="0"/>
              <a:ea typeface="+mn-ea"/>
              <a:cs typeface="+mn-cs"/>
            </a:rPr>
            <a:t>River Avon SAC</a:t>
          </a:r>
        </a:p>
        <a:p>
          <a:pPr algn="ctr"/>
          <a:r>
            <a:rPr lang="en-GB" sz="1800" b="1">
              <a:solidFill>
                <a:srgbClr val="449669"/>
              </a:solidFill>
              <a:effectLst/>
              <a:latin typeface="+mn-lt"/>
              <a:ea typeface="+mn-ea"/>
              <a:cs typeface="+mn-cs"/>
            </a:rPr>
            <a:t> </a:t>
          </a:r>
          <a:endParaRPr lang="en-GB" sz="1800" b="1">
            <a:solidFill>
              <a:srgbClr val="449669"/>
            </a:solidFill>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2</xdr:col>
      <xdr:colOff>209550</xdr:colOff>
      <xdr:row>5</xdr:row>
      <xdr:rowOff>66675</xdr:rowOff>
    </xdr:from>
    <xdr:to>
      <xdr:col>10</xdr:col>
      <xdr:colOff>57150</xdr:colOff>
      <xdr:row>5</xdr:row>
      <xdr:rowOff>66675</xdr:rowOff>
    </xdr:to>
    <xdr:cxnSp macro="">
      <xdr:nvCxnSpPr>
        <xdr:cNvPr id="14" name="Straight Connector 13">
          <a:extLst>
            <a:ext uri="{FF2B5EF4-FFF2-40B4-BE49-F238E27FC236}">
              <a16:creationId xmlns:a16="http://schemas.microsoft.com/office/drawing/2014/main" id="{FF16E9BF-5BA5-45AD-84A2-D9613662D088}"/>
            </a:ext>
          </a:extLst>
        </xdr:cNvPr>
        <xdr:cNvCxnSpPr/>
      </xdr:nvCxnSpPr>
      <xdr:spPr>
        <a:xfrm>
          <a:off x="971550" y="1876425"/>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200025</xdr:colOff>
      <xdr:row>10</xdr:row>
      <xdr:rowOff>171450</xdr:rowOff>
    </xdr:from>
    <xdr:to>
      <xdr:col>10</xdr:col>
      <xdr:colOff>47625</xdr:colOff>
      <xdr:row>10</xdr:row>
      <xdr:rowOff>171450</xdr:rowOff>
    </xdr:to>
    <xdr:cxnSp macro="">
      <xdr:nvCxnSpPr>
        <xdr:cNvPr id="19" name="Straight Connector 18">
          <a:extLst>
            <a:ext uri="{FF2B5EF4-FFF2-40B4-BE49-F238E27FC236}">
              <a16:creationId xmlns:a16="http://schemas.microsoft.com/office/drawing/2014/main" id="{3FC5B5CB-450A-4E2A-89F6-BD0FC229810C}"/>
            </a:ext>
          </a:extLst>
        </xdr:cNvPr>
        <xdr:cNvCxnSpPr/>
      </xdr:nvCxnSpPr>
      <xdr:spPr>
        <a:xfrm>
          <a:off x="962025" y="3790950"/>
          <a:ext cx="2895600"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171450</xdr:colOff>
      <xdr:row>7</xdr:row>
      <xdr:rowOff>76201</xdr:rowOff>
    </xdr:from>
    <xdr:to>
      <xdr:col>10</xdr:col>
      <xdr:colOff>104775</xdr:colOff>
      <xdr:row>9</xdr:row>
      <xdr:rowOff>9525</xdr:rowOff>
    </xdr:to>
    <xdr:sp macro="" textlink="">
      <xdr:nvSpPr>
        <xdr:cNvPr id="20" name="TextBox 19">
          <a:extLst>
            <a:ext uri="{FF2B5EF4-FFF2-40B4-BE49-F238E27FC236}">
              <a16:creationId xmlns:a16="http://schemas.microsoft.com/office/drawing/2014/main" id="{19D50B77-7D40-4832-A893-F919EAE1C2A1}"/>
            </a:ext>
          </a:extLst>
        </xdr:cNvPr>
        <xdr:cNvSpPr txBox="1"/>
      </xdr:nvSpPr>
      <xdr:spPr>
        <a:xfrm>
          <a:off x="933450" y="2609851"/>
          <a:ext cx="2981325" cy="657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a</a:t>
          </a:r>
          <a:r>
            <a:rPr lang="en-GB" sz="1200" b="1" baseline="0">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rPr>
            <a:t> tool for assessing the nutrient loading to a Habitats Site</a:t>
          </a:r>
          <a:endParaRPr lang="en-GB" sz="1200" b="1">
            <a:solidFill>
              <a:schemeClr val="bg2">
                <a:lumMod val="50000"/>
              </a:schemeClr>
            </a:solidFill>
            <a:latin typeface="Arial" panose="020B0604020202020204" pitchFamily="34" charset="0"/>
            <a:ea typeface="Segoe UI" panose="020B0502040204020203" pitchFamily="34" charset="0"/>
            <a:cs typeface="Arial" panose="020B0604020202020204"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273842</xdr:colOff>
      <xdr:row>9</xdr:row>
      <xdr:rowOff>0</xdr:rowOff>
    </xdr:from>
    <xdr:to>
      <xdr:col>12</xdr:col>
      <xdr:colOff>95249</xdr:colOff>
      <xdr:row>31</xdr:row>
      <xdr:rowOff>27335</xdr:rowOff>
    </xdr:to>
    <xdr:pic>
      <xdr:nvPicPr>
        <xdr:cNvPr id="4" name="Picture 3">
          <a:extLst>
            <a:ext uri="{FF2B5EF4-FFF2-40B4-BE49-F238E27FC236}">
              <a16:creationId xmlns:a16="http://schemas.microsoft.com/office/drawing/2014/main" id="{63EA6010-2ED9-42D2-9488-3E7D695358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69" b="169"/>
        <a:stretch/>
      </xdr:blipFill>
      <xdr:spPr>
        <a:xfrm>
          <a:off x="883442" y="2733675"/>
          <a:ext cx="6527007" cy="4218335"/>
        </a:xfrm>
        <a:prstGeom prst="rect">
          <a:avLst/>
        </a:prstGeom>
      </xdr:spPr>
    </xdr:pic>
    <xdr:clientData/>
  </xdr:twoCellAnchor>
  <xdr:twoCellAnchor>
    <xdr:from>
      <xdr:col>1</xdr:col>
      <xdr:colOff>107154</xdr:colOff>
      <xdr:row>9</xdr:row>
      <xdr:rowOff>71428</xdr:rowOff>
    </xdr:from>
    <xdr:to>
      <xdr:col>2</xdr:col>
      <xdr:colOff>288129</xdr:colOff>
      <xdr:row>12</xdr:row>
      <xdr:rowOff>23803</xdr:rowOff>
    </xdr:to>
    <xdr:sp macro="" textlink="">
      <xdr:nvSpPr>
        <xdr:cNvPr id="5" name="TextBox 4">
          <a:extLst>
            <a:ext uri="{FF2B5EF4-FFF2-40B4-BE49-F238E27FC236}">
              <a16:creationId xmlns:a16="http://schemas.microsoft.com/office/drawing/2014/main" id="{B7685507-D7BA-4E07-80C2-C8795967F3D0}"/>
            </a:ext>
          </a:extLst>
        </xdr:cNvPr>
        <xdr:cNvSpPr txBox="1"/>
      </xdr:nvSpPr>
      <xdr:spPr>
        <a:xfrm>
          <a:off x="716754" y="2805103"/>
          <a:ext cx="790575" cy="523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Figure 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57149</xdr:colOff>
      <xdr:row>4</xdr:row>
      <xdr:rowOff>5067</xdr:rowOff>
    </xdr:from>
    <xdr:to>
      <xdr:col>33</xdr:col>
      <xdr:colOff>564739</xdr:colOff>
      <xdr:row>26</xdr:row>
      <xdr:rowOff>140980</xdr:rowOff>
    </xdr:to>
    <xdr:pic>
      <xdr:nvPicPr>
        <xdr:cNvPr id="2" name="Picture 1">
          <a:extLst>
            <a:ext uri="{FF2B5EF4-FFF2-40B4-BE49-F238E27FC236}">
              <a16:creationId xmlns:a16="http://schemas.microsoft.com/office/drawing/2014/main" id="{D624DF07-6337-4CB0-90C4-9676F5125A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981949" y="776592"/>
          <a:ext cx="8870540" cy="6670063"/>
        </a:xfrm>
        <a:prstGeom prst="rect">
          <a:avLst/>
        </a:prstGeom>
        <a:ln w="38100">
          <a:solidFill>
            <a:srgbClr val="449669"/>
          </a:solid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98066</xdr:colOff>
      <xdr:row>14</xdr:row>
      <xdr:rowOff>2774</xdr:rowOff>
    </xdr:from>
    <xdr:to>
      <xdr:col>4</xdr:col>
      <xdr:colOff>564810</xdr:colOff>
      <xdr:row>17</xdr:row>
      <xdr:rowOff>167620</xdr:rowOff>
    </xdr:to>
    <xdr:sp macro="" textlink="">
      <xdr:nvSpPr>
        <xdr:cNvPr id="2" name="TextBox 7">
          <a:extLst>
            <a:ext uri="{FF2B5EF4-FFF2-40B4-BE49-F238E27FC236}">
              <a16:creationId xmlns:a16="http://schemas.microsoft.com/office/drawing/2014/main" id="{6DB7ADAE-A8CA-4671-A84E-592AEB1EDB13}"/>
            </a:ext>
          </a:extLst>
        </xdr:cNvPr>
        <xdr:cNvSpPr txBox="1"/>
      </xdr:nvSpPr>
      <xdr:spPr>
        <a:xfrm>
          <a:off x="2041166" y="2593574"/>
          <a:ext cx="1076344"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Nutrient loading from additional wastewater </a:t>
          </a:r>
        </a:p>
      </xdr:txBody>
    </xdr:sp>
    <xdr:clientData/>
  </xdr:twoCellAnchor>
  <xdr:twoCellAnchor>
    <xdr:from>
      <xdr:col>5</xdr:col>
      <xdr:colOff>73920</xdr:colOff>
      <xdr:row>14</xdr:row>
      <xdr:rowOff>2774</xdr:rowOff>
    </xdr:from>
    <xdr:to>
      <xdr:col>6</xdr:col>
      <xdr:colOff>542130</xdr:colOff>
      <xdr:row>17</xdr:row>
      <xdr:rowOff>167620</xdr:rowOff>
    </xdr:to>
    <xdr:sp macro="" textlink="">
      <xdr:nvSpPr>
        <xdr:cNvPr id="3" name="TextBox 14">
          <a:extLst>
            <a:ext uri="{FF2B5EF4-FFF2-40B4-BE49-F238E27FC236}">
              <a16:creationId xmlns:a16="http://schemas.microsoft.com/office/drawing/2014/main" id="{7132621E-2E93-47EC-9173-8104C6031165}"/>
            </a:ext>
          </a:extLst>
        </xdr:cNvPr>
        <xdr:cNvSpPr txBox="1"/>
      </xdr:nvSpPr>
      <xdr:spPr>
        <a:xfrm>
          <a:off x="3236220" y="25935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7</xdr:col>
      <xdr:colOff>62963</xdr:colOff>
      <xdr:row>14</xdr:row>
      <xdr:rowOff>2774</xdr:rowOff>
    </xdr:from>
    <xdr:to>
      <xdr:col>8</xdr:col>
      <xdr:colOff>529708</xdr:colOff>
      <xdr:row>17</xdr:row>
      <xdr:rowOff>167620</xdr:rowOff>
    </xdr:to>
    <xdr:sp macro="" textlink="">
      <xdr:nvSpPr>
        <xdr:cNvPr id="4" name="TextBox 15">
          <a:extLst>
            <a:ext uri="{FF2B5EF4-FFF2-40B4-BE49-F238E27FC236}">
              <a16:creationId xmlns:a16="http://schemas.microsoft.com/office/drawing/2014/main" id="{81C7D7A5-09A5-4A41-8748-8A93B0122235}"/>
            </a:ext>
          </a:extLst>
        </xdr:cNvPr>
        <xdr:cNvSpPr txBox="1"/>
      </xdr:nvSpPr>
      <xdr:spPr>
        <a:xfrm>
          <a:off x="4444463" y="25935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9</xdr:col>
      <xdr:colOff>48338</xdr:colOff>
      <xdr:row>14</xdr:row>
      <xdr:rowOff>12299</xdr:rowOff>
    </xdr:from>
    <xdr:to>
      <xdr:col>10</xdr:col>
      <xdr:colOff>515083</xdr:colOff>
      <xdr:row>17</xdr:row>
      <xdr:rowOff>13575</xdr:rowOff>
    </xdr:to>
    <xdr:sp macro="" textlink="">
      <xdr:nvSpPr>
        <xdr:cNvPr id="5" name="TextBox 16">
          <a:extLst>
            <a:ext uri="{FF2B5EF4-FFF2-40B4-BE49-F238E27FC236}">
              <a16:creationId xmlns:a16="http://schemas.microsoft.com/office/drawing/2014/main" id="{17E84D09-4696-44B1-84E3-75967DEE1F0E}"/>
            </a:ext>
          </a:extLst>
        </xdr:cNvPr>
        <xdr:cNvSpPr txBox="1"/>
      </xdr:nvSpPr>
      <xdr:spPr>
        <a:xfrm>
          <a:off x="5941138" y="2520549"/>
          <a:ext cx="1108095" cy="55372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3</xdr:col>
      <xdr:colOff>0</xdr:colOff>
      <xdr:row>8</xdr:row>
      <xdr:rowOff>123826</xdr:rowOff>
    </xdr:from>
    <xdr:to>
      <xdr:col>5</xdr:col>
      <xdr:colOff>63501</xdr:colOff>
      <xdr:row>14</xdr:row>
      <xdr:rowOff>35163</xdr:rowOff>
    </xdr:to>
    <xdr:pic>
      <xdr:nvPicPr>
        <xdr:cNvPr id="6" name="Picture 5">
          <a:hlinkClick xmlns:r="http://schemas.openxmlformats.org/officeDocument/2006/relationships" r:id="rId1"/>
          <a:extLst>
            <a:ext uri="{FF2B5EF4-FFF2-40B4-BE49-F238E27FC236}">
              <a16:creationId xmlns:a16="http://schemas.microsoft.com/office/drawing/2014/main" id="{2B7501D6-C74A-4F74-A316-0D23903226C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4700" y="1527176"/>
          <a:ext cx="1346201" cy="1000362"/>
        </a:xfrm>
        <a:prstGeom prst="rect">
          <a:avLst/>
        </a:prstGeom>
      </xdr:spPr>
    </xdr:pic>
    <xdr:clientData/>
  </xdr:twoCellAnchor>
  <xdr:twoCellAnchor editAs="oneCell">
    <xdr:from>
      <xdr:col>6</xdr:col>
      <xdr:colOff>569393</xdr:colOff>
      <xdr:row>8</xdr:row>
      <xdr:rowOff>121426</xdr:rowOff>
    </xdr:from>
    <xdr:to>
      <xdr:col>9</xdr:col>
      <xdr:colOff>36288</xdr:colOff>
      <xdr:row>14</xdr:row>
      <xdr:rowOff>26481</xdr:rowOff>
    </xdr:to>
    <xdr:pic>
      <xdr:nvPicPr>
        <xdr:cNvPr id="7" name="Picture 6">
          <a:hlinkClick xmlns:r="http://schemas.openxmlformats.org/officeDocument/2006/relationships" r:id="rId3"/>
          <a:extLst>
            <a:ext uri="{FF2B5EF4-FFF2-40B4-BE49-F238E27FC236}">
              <a16:creationId xmlns:a16="http://schemas.microsoft.com/office/drawing/2014/main" id="{203D3E8F-587C-4853-81FB-4B7D64ADCBB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538143" y="1524776"/>
          <a:ext cx="1381420" cy="994080"/>
        </a:xfrm>
        <a:prstGeom prst="rect">
          <a:avLst/>
        </a:prstGeom>
      </xdr:spPr>
    </xdr:pic>
    <xdr:clientData/>
  </xdr:twoCellAnchor>
  <xdr:twoCellAnchor editAs="oneCell">
    <xdr:from>
      <xdr:col>4</xdr:col>
      <xdr:colOff>586978</xdr:colOff>
      <xdr:row>8</xdr:row>
      <xdr:rowOff>0</xdr:rowOff>
    </xdr:from>
    <xdr:to>
      <xdr:col>7</xdr:col>
      <xdr:colOff>56113</xdr:colOff>
      <xdr:row>13</xdr:row>
      <xdr:rowOff>82564</xdr:rowOff>
    </xdr:to>
    <xdr:pic>
      <xdr:nvPicPr>
        <xdr:cNvPr id="8" name="Picture 7">
          <a:hlinkClick xmlns:r="http://schemas.openxmlformats.org/officeDocument/2006/relationships" r:id="rId5"/>
          <a:extLst>
            <a:ext uri="{FF2B5EF4-FFF2-40B4-BE49-F238E27FC236}">
              <a16:creationId xmlns:a16="http://schemas.microsoft.com/office/drawing/2014/main" id="{748E32AC-D877-42A8-AAFD-8C35111C2B8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73028" y="1403350"/>
          <a:ext cx="1386835" cy="987439"/>
        </a:xfrm>
        <a:prstGeom prst="rect">
          <a:avLst/>
        </a:prstGeom>
      </xdr:spPr>
    </xdr:pic>
    <xdr:clientData/>
  </xdr:twoCellAnchor>
  <xdr:twoCellAnchor editAs="oneCell">
    <xdr:from>
      <xdr:col>8</xdr:col>
      <xdr:colOff>552868</xdr:colOff>
      <xdr:row>8</xdr:row>
      <xdr:rowOff>0</xdr:rowOff>
    </xdr:from>
    <xdr:to>
      <xdr:col>11</xdr:col>
      <xdr:colOff>31488</xdr:colOff>
      <xdr:row>13</xdr:row>
      <xdr:rowOff>83019</xdr:rowOff>
    </xdr:to>
    <xdr:pic>
      <xdr:nvPicPr>
        <xdr:cNvPr id="9" name="Picture 8">
          <a:hlinkClick xmlns:r="http://schemas.openxmlformats.org/officeDocument/2006/relationships" r:id="rId7"/>
          <a:extLst>
            <a:ext uri="{FF2B5EF4-FFF2-40B4-BE49-F238E27FC236}">
              <a16:creationId xmlns:a16="http://schemas.microsoft.com/office/drawing/2014/main" id="{123AEBDE-E74C-4166-BD31-DDFA8E536ED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804318" y="1403350"/>
          <a:ext cx="1393145" cy="994244"/>
        </a:xfrm>
        <a:prstGeom prst="rect">
          <a:avLst/>
        </a:prstGeom>
      </xdr:spPr>
    </xdr:pic>
    <xdr:clientData/>
  </xdr:twoCellAnchor>
  <xdr:twoCellAnchor editAs="oneCell">
    <xdr:from>
      <xdr:col>0</xdr:col>
      <xdr:colOff>373254</xdr:colOff>
      <xdr:row>66</xdr:row>
      <xdr:rowOff>99703</xdr:rowOff>
    </xdr:from>
    <xdr:to>
      <xdr:col>12</xdr:col>
      <xdr:colOff>520701</xdr:colOff>
      <xdr:row>70</xdr:row>
      <xdr:rowOff>259256</xdr:rowOff>
    </xdr:to>
    <xdr:pic>
      <xdr:nvPicPr>
        <xdr:cNvPr id="10" name="Picture 9">
          <a:extLst>
            <a:ext uri="{FF2B5EF4-FFF2-40B4-BE49-F238E27FC236}">
              <a16:creationId xmlns:a16="http://schemas.microsoft.com/office/drawing/2014/main" id="{FF22F5EA-7FC4-4142-9A1F-ED908731890C}"/>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373254" y="17593953"/>
          <a:ext cx="7938897" cy="1794678"/>
        </a:xfrm>
        <a:prstGeom prst="rect">
          <a:avLst/>
        </a:prstGeom>
      </xdr:spPr>
    </xdr:pic>
    <xdr:clientData/>
  </xdr:twoCellAnchor>
  <xdr:twoCellAnchor editAs="oneCell">
    <xdr:from>
      <xdr:col>2</xdr:col>
      <xdr:colOff>561977</xdr:colOff>
      <xdr:row>27</xdr:row>
      <xdr:rowOff>104779</xdr:rowOff>
    </xdr:from>
    <xdr:to>
      <xdr:col>11</xdr:col>
      <xdr:colOff>105081</xdr:colOff>
      <xdr:row>35</xdr:row>
      <xdr:rowOff>425450</xdr:rowOff>
    </xdr:to>
    <xdr:pic>
      <xdr:nvPicPr>
        <xdr:cNvPr id="11" name="Picture 10">
          <a:extLst>
            <a:ext uri="{FF2B5EF4-FFF2-40B4-BE49-F238E27FC236}">
              <a16:creationId xmlns:a16="http://schemas.microsoft.com/office/drawing/2014/main" id="{EB4C8745-F159-4AFF-8AC9-DCE33CCCFEB3}"/>
            </a:ext>
          </a:extLst>
        </xdr:cNvPr>
        <xdr:cNvPicPr>
          <a:picLocks noChangeAspect="1"/>
        </xdr:cNvPicPr>
      </xdr:nvPicPr>
      <xdr:blipFill rotWithShape="1">
        <a:blip xmlns:r="http://schemas.openxmlformats.org/officeDocument/2006/relationships" r:embed="rId10"/>
        <a:srcRect l="51428" t="38163" r="34591" b="44722"/>
        <a:stretch/>
      </xdr:blipFill>
      <xdr:spPr>
        <a:xfrm>
          <a:off x="1844677" y="5127629"/>
          <a:ext cx="5407329" cy="17144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2</xdr:row>
      <xdr:rowOff>57149</xdr:rowOff>
    </xdr:from>
    <xdr:to>
      <xdr:col>3</xdr:col>
      <xdr:colOff>0</xdr:colOff>
      <xdr:row>4</xdr:row>
      <xdr:rowOff>72149</xdr:rowOff>
    </xdr:to>
    <xdr:sp macro="" textlink="">
      <xdr:nvSpPr>
        <xdr:cNvPr id="2" name="TextBox 1">
          <a:extLst>
            <a:ext uri="{FF2B5EF4-FFF2-40B4-BE49-F238E27FC236}">
              <a16:creationId xmlns:a16="http://schemas.microsoft.com/office/drawing/2014/main" id="{F6659CFF-5286-40D7-98F4-B757E28119DB}"/>
            </a:ext>
          </a:extLst>
        </xdr:cNvPr>
        <xdr:cNvSpPr txBox="1"/>
      </xdr:nvSpPr>
      <xdr:spPr>
        <a:xfrm>
          <a:off x="628650" y="438149"/>
          <a:ext cx="3629025" cy="396000"/>
        </a:xfrm>
        <a:prstGeom prst="rect">
          <a:avLst/>
        </a:prstGeom>
        <a:solidFill>
          <a:schemeClr val="lt1"/>
        </a:solidFill>
        <a:ln w="38100" cmpd="sng">
          <a:solidFill>
            <a:srgbClr val="449669"/>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800" b="1">
              <a:solidFill>
                <a:srgbClr val="449669"/>
              </a:solidFill>
              <a:effectLst/>
              <a:latin typeface="Century Gothic" panose="020B0502020202020204" pitchFamily="34" charset="0"/>
              <a:ea typeface="+mn-ea"/>
              <a:cs typeface="+mn-cs"/>
            </a:rPr>
            <a:t>Stage</a:t>
          </a:r>
          <a:r>
            <a:rPr lang="en-GB" sz="1800" b="1" baseline="0">
              <a:solidFill>
                <a:srgbClr val="449669"/>
              </a:solidFill>
              <a:effectLst/>
              <a:latin typeface="Century Gothic" panose="020B0502020202020204" pitchFamily="34" charset="0"/>
              <a:ea typeface="+mn-ea"/>
              <a:cs typeface="+mn-cs"/>
            </a:rPr>
            <a:t> 4</a:t>
          </a:r>
          <a:endParaRPr lang="en-GB" sz="1800" b="1">
            <a:latin typeface="Century Gothic" panose="020B0502020202020204" pitchFamily="34" charset="0"/>
            <a:ea typeface="Segoe UI" panose="020B0502040204020203" pitchFamily="34" charset="0"/>
            <a:cs typeface="Segoe UI" panose="020B0502040204020203" pitchFamily="34" charset="0"/>
          </a:endParaRPr>
        </a:p>
        <a:p>
          <a:pPr algn="ctr"/>
          <a:endParaRPr lang="en-GB" sz="1800" b="1">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0</xdr:col>
      <xdr:colOff>552450</xdr:colOff>
      <xdr:row>4</xdr:row>
      <xdr:rowOff>180975</xdr:rowOff>
    </xdr:from>
    <xdr:to>
      <xdr:col>3</xdr:col>
      <xdr:colOff>66675</xdr:colOff>
      <xdr:row>6</xdr:row>
      <xdr:rowOff>133349</xdr:rowOff>
    </xdr:to>
    <xdr:sp macro="" textlink="">
      <xdr:nvSpPr>
        <xdr:cNvPr id="3" name="TextBox 2">
          <a:extLst>
            <a:ext uri="{FF2B5EF4-FFF2-40B4-BE49-F238E27FC236}">
              <a16:creationId xmlns:a16="http://schemas.microsoft.com/office/drawing/2014/main" id="{DC6F458F-5243-4801-8D6D-68E79E45F72B}"/>
            </a:ext>
          </a:extLst>
        </xdr:cNvPr>
        <xdr:cNvSpPr txBox="1"/>
      </xdr:nvSpPr>
      <xdr:spPr>
        <a:xfrm>
          <a:off x="552450" y="942975"/>
          <a:ext cx="3771900" cy="361949"/>
        </a:xfrm>
        <a:prstGeom prst="rect">
          <a:avLst/>
        </a:prstGeom>
        <a:solidFill>
          <a:schemeClr val="lt1"/>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ysClr val="windowText" lastClr="000000"/>
              </a:solidFill>
              <a:effectLst/>
              <a:latin typeface="Century Gothic" panose="020B0502020202020204" pitchFamily="34" charset="0"/>
              <a:ea typeface="+mn-ea"/>
              <a:cs typeface="+mn-cs"/>
            </a:rPr>
            <a:t>Calculated</a:t>
          </a:r>
          <a:r>
            <a:rPr lang="en-GB" sz="1200" b="1" baseline="0">
              <a:solidFill>
                <a:sysClr val="windowText" lastClr="000000"/>
              </a:solidFill>
              <a:effectLst/>
              <a:latin typeface="Century Gothic" panose="020B0502020202020204" pitchFamily="34" charset="0"/>
              <a:ea typeface="+mn-ea"/>
              <a:cs typeface="+mn-cs"/>
            </a:rPr>
            <a:t> </a:t>
          </a:r>
          <a:r>
            <a:rPr lang="en-GB" sz="1200" b="1">
              <a:solidFill>
                <a:sysClr val="windowText" lastClr="000000"/>
              </a:solidFill>
              <a:effectLst/>
              <a:latin typeface="Century Gothic" panose="020B0502020202020204" pitchFamily="34" charset="0"/>
              <a:ea typeface="+mn-ea"/>
              <a:cs typeface="+mn-cs"/>
            </a:rPr>
            <a:t>Outputs</a:t>
          </a:r>
          <a:endParaRPr lang="en-GB" sz="1200" b="1">
            <a:solidFill>
              <a:sysClr val="windowText" lastClr="000000"/>
            </a:solidFill>
            <a:latin typeface="Century Gothic" panose="020B0502020202020204" pitchFamily="34" charset="0"/>
            <a:ea typeface="Segoe UI" panose="020B0502040204020203" pitchFamily="34" charset="0"/>
            <a:cs typeface="Segoe UI" panose="020B0502040204020203" pitchFamily="34" charset="0"/>
          </a:endParaRPr>
        </a:p>
      </xdr:txBody>
    </xdr:sp>
    <xdr:clientData/>
  </xdr:twoCellAnchor>
  <xdr:twoCellAnchor>
    <xdr:from>
      <xdr:col>1</xdr:col>
      <xdr:colOff>1558556</xdr:colOff>
      <xdr:row>5</xdr:row>
      <xdr:rowOff>19050</xdr:rowOff>
    </xdr:from>
    <xdr:to>
      <xdr:col>2</xdr:col>
      <xdr:colOff>257618</xdr:colOff>
      <xdr:row>5</xdr:row>
      <xdr:rowOff>19050</xdr:rowOff>
    </xdr:to>
    <xdr:cxnSp macro="">
      <xdr:nvCxnSpPr>
        <xdr:cNvPr id="4" name="Straight Connector 3">
          <a:extLst>
            <a:ext uri="{FF2B5EF4-FFF2-40B4-BE49-F238E27FC236}">
              <a16:creationId xmlns:a16="http://schemas.microsoft.com/office/drawing/2014/main" id="{935094C3-62FA-4563-A21D-C0A8CA6D4D15}"/>
            </a:ext>
          </a:extLst>
        </xdr:cNvPr>
        <xdr:cNvCxnSpPr/>
      </xdr:nvCxnSpPr>
      <xdr:spPr>
        <a:xfrm>
          <a:off x="2168156" y="971550"/>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1558556</xdr:colOff>
      <xdr:row>6</xdr:row>
      <xdr:rowOff>95250</xdr:rowOff>
    </xdr:from>
    <xdr:to>
      <xdr:col>2</xdr:col>
      <xdr:colOff>257618</xdr:colOff>
      <xdr:row>6</xdr:row>
      <xdr:rowOff>95250</xdr:rowOff>
    </xdr:to>
    <xdr:cxnSp macro="">
      <xdr:nvCxnSpPr>
        <xdr:cNvPr id="5" name="Straight Connector 4">
          <a:extLst>
            <a:ext uri="{FF2B5EF4-FFF2-40B4-BE49-F238E27FC236}">
              <a16:creationId xmlns:a16="http://schemas.microsoft.com/office/drawing/2014/main" id="{4BE1D860-027E-463E-9523-BF967B628009}"/>
            </a:ext>
          </a:extLst>
        </xdr:cNvPr>
        <xdr:cNvCxnSpPr/>
      </xdr:nvCxnSpPr>
      <xdr:spPr>
        <a:xfrm>
          <a:off x="2168156" y="1266825"/>
          <a:ext cx="556437" cy="0"/>
        </a:xfrm>
        <a:prstGeom prst="line">
          <a:avLst/>
        </a:prstGeom>
        <a:ln w="28575">
          <a:solidFill>
            <a:srgbClr val="449669"/>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174266</xdr:colOff>
      <xdr:row>18</xdr:row>
      <xdr:rowOff>69449</xdr:rowOff>
    </xdr:from>
    <xdr:to>
      <xdr:col>10</xdr:col>
      <xdr:colOff>164760</xdr:colOff>
      <xdr:row>20</xdr:row>
      <xdr:rowOff>28450</xdr:rowOff>
    </xdr:to>
    <xdr:sp macro="" textlink="">
      <xdr:nvSpPr>
        <xdr:cNvPr id="6" name="TextBox 7">
          <a:extLst>
            <a:ext uri="{FF2B5EF4-FFF2-40B4-BE49-F238E27FC236}">
              <a16:creationId xmlns:a16="http://schemas.microsoft.com/office/drawing/2014/main" id="{A33283A2-3285-46F7-84EB-4AA89F75F0AF}"/>
            </a:ext>
          </a:extLst>
        </xdr:cNvPr>
        <xdr:cNvSpPr txBox="1"/>
      </xdr:nvSpPr>
      <xdr:spPr>
        <a:xfrm>
          <a:off x="8099066" y="3879449"/>
          <a:ext cx="1076344" cy="397151"/>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1</a:t>
          </a:r>
        </a:p>
        <a:p>
          <a:r>
            <a:rPr lang="en-GB" sz="1100" b="0">
              <a:latin typeface="Arial" panose="020B0604020202020204" pitchFamily="34" charset="0"/>
              <a:cs typeface="Arial" panose="020B0604020202020204" pitchFamily="34" charset="0"/>
            </a:rPr>
            <a:t>Value:</a:t>
          </a:r>
        </a:p>
      </xdr:txBody>
    </xdr:sp>
    <xdr:clientData/>
  </xdr:twoCellAnchor>
  <xdr:twoCellAnchor>
    <xdr:from>
      <xdr:col>10</xdr:col>
      <xdr:colOff>283470</xdr:colOff>
      <xdr:row>18</xdr:row>
      <xdr:rowOff>78974</xdr:rowOff>
    </xdr:from>
    <xdr:to>
      <xdr:col>12</xdr:col>
      <xdr:colOff>142080</xdr:colOff>
      <xdr:row>21</xdr:row>
      <xdr:rowOff>158095</xdr:rowOff>
    </xdr:to>
    <xdr:sp macro="" textlink="">
      <xdr:nvSpPr>
        <xdr:cNvPr id="7" name="TextBox 14">
          <a:extLst>
            <a:ext uri="{FF2B5EF4-FFF2-40B4-BE49-F238E27FC236}">
              <a16:creationId xmlns:a16="http://schemas.microsoft.com/office/drawing/2014/main" id="{568BEE80-E58D-4EA6-8C38-17AB8BAA4BAA}"/>
            </a:ext>
          </a:extLst>
        </xdr:cNvPr>
        <xdr:cNvSpPr txBox="1"/>
      </xdr:nvSpPr>
      <xdr:spPr>
        <a:xfrm>
          <a:off x="9294120" y="3888974"/>
          <a:ext cx="1077810"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2</a:t>
          </a:r>
        </a:p>
        <a:p>
          <a:r>
            <a:rPr lang="en-GB" sz="1100">
              <a:latin typeface="Arial" panose="020B0604020202020204" pitchFamily="34" charset="0"/>
              <a:cs typeface="Arial" panose="020B0604020202020204" pitchFamily="34" charset="0"/>
            </a:rPr>
            <a:t>Nutrient loading from current land use</a:t>
          </a:r>
        </a:p>
      </xdr:txBody>
    </xdr:sp>
    <xdr:clientData/>
  </xdr:twoCellAnchor>
  <xdr:twoCellAnchor>
    <xdr:from>
      <xdr:col>12</xdr:col>
      <xdr:colOff>272513</xdr:colOff>
      <xdr:row>18</xdr:row>
      <xdr:rowOff>78974</xdr:rowOff>
    </xdr:from>
    <xdr:to>
      <xdr:col>14</xdr:col>
      <xdr:colOff>129658</xdr:colOff>
      <xdr:row>21</xdr:row>
      <xdr:rowOff>158095</xdr:rowOff>
    </xdr:to>
    <xdr:sp macro="" textlink="">
      <xdr:nvSpPr>
        <xdr:cNvPr id="8" name="TextBox 15">
          <a:extLst>
            <a:ext uri="{FF2B5EF4-FFF2-40B4-BE49-F238E27FC236}">
              <a16:creationId xmlns:a16="http://schemas.microsoft.com/office/drawing/2014/main" id="{16337382-E2DF-4335-9BD5-709929421A4C}"/>
            </a:ext>
          </a:extLst>
        </xdr:cNvPr>
        <xdr:cNvSpPr txBox="1"/>
      </xdr:nvSpPr>
      <xdr:spPr>
        <a:xfrm>
          <a:off x="10502363" y="3888974"/>
          <a:ext cx="1076345" cy="73634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3</a:t>
          </a:r>
        </a:p>
        <a:p>
          <a:r>
            <a:rPr lang="en-GB" sz="1100">
              <a:latin typeface="Arial" panose="020B0604020202020204" pitchFamily="34" charset="0"/>
              <a:cs typeface="Arial" panose="020B0604020202020204" pitchFamily="34" charset="0"/>
            </a:rPr>
            <a:t>Nutrient loading from future land use</a:t>
          </a:r>
        </a:p>
      </xdr:txBody>
    </xdr:sp>
    <xdr:clientData/>
  </xdr:twoCellAnchor>
  <xdr:twoCellAnchor>
    <xdr:from>
      <xdr:col>14</xdr:col>
      <xdr:colOff>257888</xdr:colOff>
      <xdr:row>18</xdr:row>
      <xdr:rowOff>98024</xdr:rowOff>
    </xdr:from>
    <xdr:to>
      <xdr:col>16</xdr:col>
      <xdr:colOff>115033</xdr:colOff>
      <xdr:row>21</xdr:row>
      <xdr:rowOff>13575</xdr:rowOff>
    </xdr:to>
    <xdr:sp macro="" textlink="">
      <xdr:nvSpPr>
        <xdr:cNvPr id="9" name="TextBox 16">
          <a:extLst>
            <a:ext uri="{FF2B5EF4-FFF2-40B4-BE49-F238E27FC236}">
              <a16:creationId xmlns:a16="http://schemas.microsoft.com/office/drawing/2014/main" id="{FB53914C-1439-4AB8-92D7-6CA707289620}"/>
            </a:ext>
          </a:extLst>
        </xdr:cNvPr>
        <xdr:cNvSpPr txBox="1"/>
      </xdr:nvSpPr>
      <xdr:spPr>
        <a:xfrm>
          <a:off x="11706938" y="3908024"/>
          <a:ext cx="1076345" cy="572776"/>
        </a:xfrm>
        <a:prstGeom prst="rect">
          <a:avLst/>
        </a:prstGeom>
        <a:noFill/>
      </xdr:spPr>
      <xdr:txBody>
        <a:bodyPr wrap="square" lIns="36000" tIns="36000" rIns="36000" bIns="36000" rtlCol="0">
          <a:spAutoFit/>
        </a:bodyPr>
        <a:lstStyle>
          <a:defPPr>
            <a:defRPr lang="en-US"/>
          </a:defPPr>
          <a:lvl1pPr algn="ctr" rtl="0" eaLnBrk="0" fontAlgn="base" hangingPunct="0">
            <a:spcBef>
              <a:spcPct val="0"/>
            </a:spcBef>
            <a:spcAft>
              <a:spcPct val="0"/>
            </a:spcAft>
            <a:defRPr sz="1400" kern="1200">
              <a:solidFill>
                <a:schemeClr val="tx1"/>
              </a:solidFill>
              <a:latin typeface="Arial" charset="0"/>
              <a:ea typeface="+mn-ea"/>
              <a:cs typeface="+mn-cs"/>
            </a:defRPr>
          </a:lvl1pPr>
          <a:lvl2pPr marL="457200" algn="ctr" rtl="0" eaLnBrk="0" fontAlgn="base" hangingPunct="0">
            <a:spcBef>
              <a:spcPct val="0"/>
            </a:spcBef>
            <a:spcAft>
              <a:spcPct val="0"/>
            </a:spcAft>
            <a:defRPr sz="1400" kern="1200">
              <a:solidFill>
                <a:schemeClr val="tx1"/>
              </a:solidFill>
              <a:latin typeface="Arial" charset="0"/>
              <a:ea typeface="+mn-ea"/>
              <a:cs typeface="+mn-cs"/>
            </a:defRPr>
          </a:lvl2pPr>
          <a:lvl3pPr marL="914400" algn="ctr" rtl="0" eaLnBrk="0" fontAlgn="base" hangingPunct="0">
            <a:spcBef>
              <a:spcPct val="0"/>
            </a:spcBef>
            <a:spcAft>
              <a:spcPct val="0"/>
            </a:spcAft>
            <a:defRPr sz="1400" kern="1200">
              <a:solidFill>
                <a:schemeClr val="tx1"/>
              </a:solidFill>
              <a:latin typeface="Arial" charset="0"/>
              <a:ea typeface="+mn-ea"/>
              <a:cs typeface="+mn-cs"/>
            </a:defRPr>
          </a:lvl3pPr>
          <a:lvl4pPr marL="1371600" algn="ctr" rtl="0" eaLnBrk="0" fontAlgn="base" hangingPunct="0">
            <a:spcBef>
              <a:spcPct val="0"/>
            </a:spcBef>
            <a:spcAft>
              <a:spcPct val="0"/>
            </a:spcAft>
            <a:defRPr sz="1400" kern="1200">
              <a:solidFill>
                <a:schemeClr val="tx1"/>
              </a:solidFill>
              <a:latin typeface="Arial" charset="0"/>
              <a:ea typeface="+mn-ea"/>
              <a:cs typeface="+mn-cs"/>
            </a:defRPr>
          </a:lvl4pPr>
          <a:lvl5pPr marL="1828800" algn="ctr" rtl="0" eaLnBrk="0" fontAlgn="base" hangingPunct="0">
            <a:spcBef>
              <a:spcPct val="0"/>
            </a:spcBef>
            <a:spcAft>
              <a:spcPct val="0"/>
            </a:spcAft>
            <a:defRPr sz="1400" kern="1200">
              <a:solidFill>
                <a:schemeClr val="tx1"/>
              </a:solidFill>
              <a:latin typeface="Arial" charset="0"/>
              <a:ea typeface="+mn-ea"/>
              <a:cs typeface="+mn-cs"/>
            </a:defRPr>
          </a:lvl5pPr>
          <a:lvl6pPr marL="2286000" algn="l" defTabSz="914400" rtl="0" eaLnBrk="1" latinLnBrk="0" hangingPunct="1">
            <a:defRPr sz="1400" kern="1200">
              <a:solidFill>
                <a:schemeClr val="tx1"/>
              </a:solidFill>
              <a:latin typeface="Arial" charset="0"/>
              <a:ea typeface="+mn-ea"/>
              <a:cs typeface="+mn-cs"/>
            </a:defRPr>
          </a:lvl6pPr>
          <a:lvl7pPr marL="2743200" algn="l" defTabSz="914400" rtl="0" eaLnBrk="1" latinLnBrk="0" hangingPunct="1">
            <a:defRPr sz="1400" kern="1200">
              <a:solidFill>
                <a:schemeClr val="tx1"/>
              </a:solidFill>
              <a:latin typeface="Arial" charset="0"/>
              <a:ea typeface="+mn-ea"/>
              <a:cs typeface="+mn-cs"/>
            </a:defRPr>
          </a:lvl7pPr>
          <a:lvl8pPr marL="3200400" algn="l" defTabSz="914400" rtl="0" eaLnBrk="1" latinLnBrk="0" hangingPunct="1">
            <a:defRPr sz="1400" kern="1200">
              <a:solidFill>
                <a:schemeClr val="tx1"/>
              </a:solidFill>
              <a:latin typeface="Arial" charset="0"/>
              <a:ea typeface="+mn-ea"/>
              <a:cs typeface="+mn-cs"/>
            </a:defRPr>
          </a:lvl8pPr>
          <a:lvl9pPr marL="3657600" algn="l" defTabSz="914400" rtl="0" eaLnBrk="1" latinLnBrk="0" hangingPunct="1">
            <a:defRPr sz="1400" kern="1200">
              <a:solidFill>
                <a:schemeClr val="tx1"/>
              </a:solidFill>
              <a:latin typeface="Arial" charset="0"/>
              <a:ea typeface="+mn-ea"/>
              <a:cs typeface="+mn-cs"/>
            </a:defRPr>
          </a:lvl9pPr>
        </a:lstStyle>
        <a:p>
          <a:r>
            <a:rPr lang="en-GB" sz="1100" b="1">
              <a:latin typeface="Arial" panose="020B0604020202020204" pitchFamily="34" charset="0"/>
              <a:cs typeface="Arial" panose="020B0604020202020204" pitchFamily="34" charset="0"/>
            </a:rPr>
            <a:t>Stage 4</a:t>
          </a:r>
        </a:p>
        <a:p>
          <a:r>
            <a:rPr lang="en-GB" sz="1100">
              <a:latin typeface="Arial" panose="020B0604020202020204" pitchFamily="34" charset="0"/>
              <a:cs typeface="Arial" panose="020B0604020202020204" pitchFamily="34" charset="0"/>
            </a:rPr>
            <a:t>Nutrient budget calculation</a:t>
          </a:r>
        </a:p>
      </xdr:txBody>
    </xdr:sp>
    <xdr:clientData/>
  </xdr:twoCellAnchor>
  <xdr:twoCellAnchor editAs="oneCell">
    <xdr:from>
      <xdr:col>8</xdr:col>
      <xdr:colOff>76200</xdr:colOff>
      <xdr:row>13</xdr:row>
      <xdr:rowOff>76201</xdr:rowOff>
    </xdr:from>
    <xdr:to>
      <xdr:col>10</xdr:col>
      <xdr:colOff>276226</xdr:colOff>
      <xdr:row>18</xdr:row>
      <xdr:rowOff>84282</xdr:rowOff>
    </xdr:to>
    <xdr:pic>
      <xdr:nvPicPr>
        <xdr:cNvPr id="10" name="Picture 9">
          <a:hlinkClick xmlns:r="http://schemas.openxmlformats.org/officeDocument/2006/relationships" r:id="rId1"/>
          <a:extLst>
            <a:ext uri="{FF2B5EF4-FFF2-40B4-BE49-F238E27FC236}">
              <a16:creationId xmlns:a16="http://schemas.microsoft.com/office/drawing/2014/main" id="{CF9F181F-F076-4A15-9A81-9FFA380081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1000" y="2876551"/>
          <a:ext cx="1285876" cy="1017731"/>
        </a:xfrm>
        <a:prstGeom prst="rect">
          <a:avLst/>
        </a:prstGeom>
      </xdr:spPr>
    </xdr:pic>
    <xdr:clientData/>
  </xdr:twoCellAnchor>
  <xdr:twoCellAnchor editAs="oneCell">
    <xdr:from>
      <xdr:col>12</xdr:col>
      <xdr:colOff>169343</xdr:colOff>
      <xdr:row>13</xdr:row>
      <xdr:rowOff>73801</xdr:rowOff>
    </xdr:from>
    <xdr:to>
      <xdr:col>14</xdr:col>
      <xdr:colOff>242663</xdr:colOff>
      <xdr:row>18</xdr:row>
      <xdr:rowOff>88300</xdr:rowOff>
    </xdr:to>
    <xdr:pic>
      <xdr:nvPicPr>
        <xdr:cNvPr id="11" name="Picture 10">
          <a:hlinkClick xmlns:r="http://schemas.openxmlformats.org/officeDocument/2006/relationships" r:id="rId3"/>
          <a:extLst>
            <a:ext uri="{FF2B5EF4-FFF2-40B4-BE49-F238E27FC236}">
              <a16:creationId xmlns:a16="http://schemas.microsoft.com/office/drawing/2014/main" id="{E398EA38-93DD-45FF-9C31-D9A63D84641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399193" y="2874151"/>
          <a:ext cx="1292520" cy="1024149"/>
        </a:xfrm>
        <a:prstGeom prst="rect">
          <a:avLst/>
        </a:prstGeom>
      </xdr:spPr>
    </xdr:pic>
    <xdr:clientData/>
  </xdr:twoCellAnchor>
  <xdr:twoCellAnchor editAs="oneCell">
    <xdr:from>
      <xdr:col>10</xdr:col>
      <xdr:colOff>186928</xdr:colOff>
      <xdr:row>12</xdr:row>
      <xdr:rowOff>95250</xdr:rowOff>
    </xdr:from>
    <xdr:to>
      <xdr:col>12</xdr:col>
      <xdr:colOff>259313</xdr:colOff>
      <xdr:row>17</xdr:row>
      <xdr:rowOff>161939</xdr:rowOff>
    </xdr:to>
    <xdr:pic>
      <xdr:nvPicPr>
        <xdr:cNvPr id="12" name="Picture 11">
          <a:hlinkClick xmlns:r="http://schemas.openxmlformats.org/officeDocument/2006/relationships" r:id="rId5"/>
          <a:extLst>
            <a:ext uri="{FF2B5EF4-FFF2-40B4-BE49-F238E27FC236}">
              <a16:creationId xmlns:a16="http://schemas.microsoft.com/office/drawing/2014/main" id="{4A9C62A6-3D7B-4731-AAFB-011BA62AB70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197578" y="2752725"/>
          <a:ext cx="1291585" cy="1019189"/>
        </a:xfrm>
        <a:prstGeom prst="rect">
          <a:avLst/>
        </a:prstGeom>
      </xdr:spPr>
    </xdr:pic>
    <xdr:clientData/>
  </xdr:twoCellAnchor>
  <xdr:twoCellAnchor editAs="oneCell">
    <xdr:from>
      <xdr:col>14</xdr:col>
      <xdr:colOff>152818</xdr:colOff>
      <xdr:row>12</xdr:row>
      <xdr:rowOff>95250</xdr:rowOff>
    </xdr:from>
    <xdr:to>
      <xdr:col>16</xdr:col>
      <xdr:colOff>228338</xdr:colOff>
      <xdr:row>17</xdr:row>
      <xdr:rowOff>165569</xdr:rowOff>
    </xdr:to>
    <xdr:pic>
      <xdr:nvPicPr>
        <xdr:cNvPr id="13" name="Picture 12">
          <a:hlinkClick xmlns:r="http://schemas.openxmlformats.org/officeDocument/2006/relationships" r:id="rId7"/>
          <a:extLst>
            <a:ext uri="{FF2B5EF4-FFF2-40B4-BE49-F238E27FC236}">
              <a16:creationId xmlns:a16="http://schemas.microsoft.com/office/drawing/2014/main" id="{4D499E9D-14E9-4A44-9642-E04BC704D611}"/>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601868" y="2752725"/>
          <a:ext cx="1294720" cy="10228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2" Type="http://schemas.openxmlformats.org/officeDocument/2006/relationships/hyperlink" Target="http://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drawing" Target="../drawings/drawing4.xml"/><Relationship Id="rId5" Type="http://schemas.openxmlformats.org/officeDocument/2006/relationships/printerSettings" Target="../printerSettings/printerSettings3.bin"/><Relationship Id="rId4" Type="http://schemas.openxmlformats.org/officeDocument/2006/relationships/hyperlink" Target="https://nrfa.ceh.ac.uk/data/station/spatial/4302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288EF-98C6-448F-AC74-23005D297FD1}">
  <sheetPr codeName="Sheet1"/>
  <dimension ref="M5:Y12"/>
  <sheetViews>
    <sheetView showGridLines="0" showRowColHeaders="0" zoomScaleNormal="100" workbookViewId="0">
      <selection activeCell="G14" sqref="G14"/>
    </sheetView>
  </sheetViews>
  <sheetFormatPr defaultColWidth="5.7265625" defaultRowHeight="28.5" customHeight="1" x14ac:dyDescent="0.35"/>
  <cols>
    <col min="1" max="12" width="5.7265625" style="2"/>
    <col min="13" max="13" width="30.26953125" style="2" bestFit="1" customWidth="1"/>
    <col min="14" max="14" width="5.7265625" style="2"/>
    <col min="15" max="15" width="4.54296875" style="2" customWidth="1"/>
    <col min="16" max="20" width="5.7265625" style="2"/>
    <col min="21" max="21" width="5.7265625" style="2" customWidth="1"/>
    <col min="22" max="16384" width="5.7265625" style="2"/>
  </cols>
  <sheetData>
    <row r="5" spans="13:25" ht="28.5" customHeight="1" x14ac:dyDescent="0.35">
      <c r="Y5"/>
    </row>
    <row r="11" spans="13:25" ht="18" customHeight="1" x14ac:dyDescent="0.35"/>
    <row r="12" spans="13:25" ht="14.5" x14ac:dyDescent="0.35">
      <c r="M12" s="105"/>
    </row>
  </sheetData>
  <sheetProtection sheet="1" objects="1" scenarios="1" selectLockedCells="1" selectUn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284AB-D707-4B49-9272-F77376498E2A}">
  <sheetPr codeName="Sheet2"/>
  <dimension ref="B2:N121"/>
  <sheetViews>
    <sheetView showRowColHeaders="0" topLeftCell="A8" zoomScaleNormal="100" workbookViewId="0">
      <selection activeCell="B8" sqref="B8:M8"/>
    </sheetView>
  </sheetViews>
  <sheetFormatPr defaultColWidth="9.1796875" defaultRowHeight="14.5" x14ac:dyDescent="0.35"/>
  <cols>
    <col min="1" max="13" width="9.1796875" style="135"/>
    <col min="14" max="14" width="1.7265625" style="135" customWidth="1"/>
    <col min="15" max="16384" width="9.1796875" style="135"/>
  </cols>
  <sheetData>
    <row r="2" spans="2:14" ht="15" thickBot="1" x14ac:dyDescent="0.4"/>
    <row r="3" spans="2:14" ht="15.75" customHeight="1" thickTop="1" x14ac:dyDescent="0.35">
      <c r="B3" s="231" t="s">
        <v>0</v>
      </c>
      <c r="C3" s="232"/>
      <c r="D3" s="232"/>
      <c r="E3" s="232"/>
      <c r="F3" s="232"/>
      <c r="G3" s="232"/>
      <c r="H3" s="232"/>
      <c r="I3" s="232"/>
      <c r="J3" s="232"/>
      <c r="K3" s="232"/>
      <c r="L3" s="232"/>
      <c r="M3" s="232"/>
      <c r="N3" s="233"/>
    </row>
    <row r="4" spans="2:14" ht="15" customHeight="1" x14ac:dyDescent="0.35">
      <c r="B4" s="234"/>
      <c r="C4" s="235"/>
      <c r="D4" s="235"/>
      <c r="E4" s="235"/>
      <c r="F4" s="235"/>
      <c r="G4" s="235"/>
      <c r="H4" s="235"/>
      <c r="I4" s="235"/>
      <c r="J4" s="235"/>
      <c r="K4" s="235"/>
      <c r="L4" s="235"/>
      <c r="M4" s="235"/>
      <c r="N4" s="236"/>
    </row>
    <row r="5" spans="2:14" ht="15" customHeight="1" x14ac:dyDescent="0.35">
      <c r="B5" s="234"/>
      <c r="C5" s="235"/>
      <c r="D5" s="235"/>
      <c r="E5" s="235"/>
      <c r="F5" s="235"/>
      <c r="G5" s="235"/>
      <c r="H5" s="235"/>
      <c r="I5" s="235"/>
      <c r="J5" s="235"/>
      <c r="K5" s="235"/>
      <c r="L5" s="235"/>
      <c r="M5" s="235"/>
      <c r="N5" s="236"/>
    </row>
    <row r="6" spans="2:14" ht="8.25" customHeight="1" x14ac:dyDescent="0.35">
      <c r="B6" s="130"/>
      <c r="C6" s="1"/>
      <c r="D6" s="1"/>
      <c r="E6" s="1"/>
      <c r="F6" s="1"/>
      <c r="G6" s="1"/>
      <c r="H6" s="1"/>
      <c r="I6" s="1"/>
      <c r="J6" s="1"/>
      <c r="K6" s="1"/>
      <c r="L6" s="1"/>
      <c r="M6" s="1"/>
      <c r="N6" s="120"/>
    </row>
    <row r="7" spans="2:14" ht="56.25" customHeight="1" x14ac:dyDescent="0.35">
      <c r="B7" s="237" t="s">
        <v>1</v>
      </c>
      <c r="C7" s="238"/>
      <c r="D7" s="238"/>
      <c r="E7" s="238"/>
      <c r="F7" s="238"/>
      <c r="G7" s="238"/>
      <c r="H7" s="238"/>
      <c r="I7" s="238"/>
      <c r="J7" s="238"/>
      <c r="K7" s="238"/>
      <c r="L7" s="238"/>
      <c r="M7" s="238"/>
      <c r="N7" s="120"/>
    </row>
    <row r="8" spans="2:14" ht="59.25" customHeight="1" x14ac:dyDescent="0.35">
      <c r="B8" s="239" t="s">
        <v>2</v>
      </c>
      <c r="C8" s="240"/>
      <c r="D8" s="240"/>
      <c r="E8" s="240"/>
      <c r="F8" s="240"/>
      <c r="G8" s="240"/>
      <c r="H8" s="240"/>
      <c r="I8" s="240"/>
      <c r="J8" s="240"/>
      <c r="K8" s="240"/>
      <c r="L8" s="240"/>
      <c r="M8" s="240"/>
      <c r="N8" s="120"/>
    </row>
    <row r="9" spans="2:14" x14ac:dyDescent="0.35">
      <c r="B9" s="131"/>
      <c r="C9" s="22"/>
      <c r="D9" s="22"/>
      <c r="E9" s="22"/>
      <c r="F9" s="22"/>
      <c r="G9" s="22"/>
      <c r="H9" s="22"/>
      <c r="I9" s="22"/>
      <c r="J9" s="22"/>
      <c r="K9" s="22"/>
      <c r="L9" s="22"/>
      <c r="M9" s="22"/>
      <c r="N9" s="120"/>
    </row>
    <row r="10" spans="2:14" x14ac:dyDescent="0.35">
      <c r="B10" s="131"/>
      <c r="C10" s="22"/>
      <c r="D10" s="22"/>
      <c r="E10" s="22"/>
      <c r="F10" s="22"/>
      <c r="G10" s="22"/>
      <c r="H10" s="22"/>
      <c r="I10" s="22"/>
      <c r="J10" s="22"/>
      <c r="K10" s="22"/>
      <c r="L10" s="22"/>
      <c r="M10" s="22"/>
      <c r="N10" s="120"/>
    </row>
    <row r="11" spans="2:14" x14ac:dyDescent="0.35">
      <c r="B11" s="131"/>
      <c r="C11" s="22"/>
      <c r="D11" s="22"/>
      <c r="E11" s="22"/>
      <c r="F11" s="22"/>
      <c r="G11" s="22"/>
      <c r="H11" s="22"/>
      <c r="I11" s="22"/>
      <c r="J11" s="22"/>
      <c r="K11" s="22"/>
      <c r="L11" s="22"/>
      <c r="M11" s="22"/>
      <c r="N11" s="120"/>
    </row>
    <row r="12" spans="2:14" x14ac:dyDescent="0.35">
      <c r="B12" s="131"/>
      <c r="C12" s="22"/>
      <c r="D12" s="22"/>
      <c r="E12" s="22"/>
      <c r="F12" s="22"/>
      <c r="G12" s="22"/>
      <c r="H12" s="22"/>
      <c r="I12" s="22"/>
      <c r="J12" s="22"/>
      <c r="K12" s="22"/>
      <c r="L12" s="22"/>
      <c r="M12" s="22"/>
      <c r="N12" s="120"/>
    </row>
    <row r="13" spans="2:14" x14ac:dyDescent="0.35">
      <c r="B13" s="131"/>
      <c r="C13" s="22"/>
      <c r="D13" s="22"/>
      <c r="E13" s="22"/>
      <c r="F13" s="22"/>
      <c r="G13" s="22"/>
      <c r="H13" s="22"/>
      <c r="I13" s="22"/>
      <c r="J13" s="22"/>
      <c r="K13" s="22"/>
      <c r="L13" s="22"/>
      <c r="M13" s="22"/>
      <c r="N13" s="120"/>
    </row>
    <row r="14" spans="2:14" x14ac:dyDescent="0.35">
      <c r="B14" s="131"/>
      <c r="C14" s="22"/>
      <c r="D14" s="22"/>
      <c r="E14" s="22"/>
      <c r="F14" s="22"/>
      <c r="G14" s="22"/>
      <c r="H14" s="22"/>
      <c r="I14" s="22"/>
      <c r="J14" s="22"/>
      <c r="K14" s="22"/>
      <c r="L14" s="22"/>
      <c r="M14" s="22"/>
      <c r="N14" s="120"/>
    </row>
    <row r="15" spans="2:14" x14ac:dyDescent="0.35">
      <c r="B15" s="131"/>
      <c r="C15" s="22"/>
      <c r="D15" s="22"/>
      <c r="E15" s="22"/>
      <c r="F15" s="22"/>
      <c r="G15" s="22"/>
      <c r="H15" s="22"/>
      <c r="I15" s="22"/>
      <c r="J15" s="22"/>
      <c r="K15" s="22"/>
      <c r="L15" s="22"/>
      <c r="M15" s="22"/>
      <c r="N15" s="120"/>
    </row>
    <row r="16" spans="2:14" x14ac:dyDescent="0.35">
      <c r="B16" s="131"/>
      <c r="C16" s="22"/>
      <c r="D16" s="22"/>
      <c r="E16" s="22"/>
      <c r="F16" s="22"/>
      <c r="G16" s="22"/>
      <c r="H16" s="22"/>
      <c r="I16" s="22"/>
      <c r="J16" s="22"/>
      <c r="K16" s="22"/>
      <c r="L16" s="22"/>
      <c r="M16" s="22"/>
      <c r="N16" s="120"/>
    </row>
    <row r="17" spans="2:14" x14ac:dyDescent="0.35">
      <c r="B17" s="131"/>
      <c r="C17" s="22"/>
      <c r="D17" s="22"/>
      <c r="E17" s="22"/>
      <c r="F17" s="22"/>
      <c r="G17" s="22"/>
      <c r="H17" s="22"/>
      <c r="I17" s="22"/>
      <c r="J17" s="22"/>
      <c r="K17" s="22"/>
      <c r="L17" s="22"/>
      <c r="M17" s="22"/>
      <c r="N17" s="120"/>
    </row>
    <row r="18" spans="2:14" x14ac:dyDescent="0.35">
      <c r="B18" s="131"/>
      <c r="C18" s="22"/>
      <c r="D18" s="22"/>
      <c r="E18" s="22"/>
      <c r="F18" s="22"/>
      <c r="G18" s="22"/>
      <c r="H18" s="22"/>
      <c r="I18" s="22"/>
      <c r="J18" s="22"/>
      <c r="K18" s="22"/>
      <c r="L18" s="22"/>
      <c r="M18" s="22"/>
      <c r="N18" s="120"/>
    </row>
    <row r="19" spans="2:14" x14ac:dyDescent="0.35">
      <c r="B19" s="131"/>
      <c r="C19" s="22"/>
      <c r="D19" s="22"/>
      <c r="E19" s="22"/>
      <c r="F19" s="22"/>
      <c r="G19" s="22"/>
      <c r="H19" s="22"/>
      <c r="I19" s="22"/>
      <c r="J19" s="22"/>
      <c r="K19" s="22"/>
      <c r="L19" s="22"/>
      <c r="M19" s="22"/>
      <c r="N19" s="120"/>
    </row>
    <row r="20" spans="2:14" x14ac:dyDescent="0.35">
      <c r="B20" s="131"/>
      <c r="C20" s="22"/>
      <c r="D20" s="22"/>
      <c r="E20" s="22"/>
      <c r="F20" s="22"/>
      <c r="G20" s="22"/>
      <c r="H20" s="22"/>
      <c r="I20" s="22"/>
      <c r="J20" s="22"/>
      <c r="K20" s="22"/>
      <c r="L20" s="22"/>
      <c r="M20" s="22"/>
      <c r="N20" s="120"/>
    </row>
    <row r="21" spans="2:14" x14ac:dyDescent="0.35">
      <c r="B21" s="131"/>
      <c r="C21" s="22"/>
      <c r="D21" s="22"/>
      <c r="E21" s="22"/>
      <c r="F21" s="22"/>
      <c r="G21" s="22"/>
      <c r="H21" s="22"/>
      <c r="I21" s="22"/>
      <c r="J21" s="22"/>
      <c r="K21" s="22"/>
      <c r="L21" s="22"/>
      <c r="M21" s="22"/>
      <c r="N21" s="120"/>
    </row>
    <row r="22" spans="2:14" x14ac:dyDescent="0.35">
      <c r="B22" s="131"/>
      <c r="C22" s="22"/>
      <c r="D22" s="22"/>
      <c r="E22" s="22"/>
      <c r="F22" s="22"/>
      <c r="G22" s="22"/>
      <c r="H22" s="22"/>
      <c r="I22" s="22"/>
      <c r="J22" s="22"/>
      <c r="K22" s="22"/>
      <c r="L22" s="22"/>
      <c r="M22" s="22"/>
      <c r="N22" s="120"/>
    </row>
    <row r="23" spans="2:14" x14ac:dyDescent="0.35">
      <c r="B23" s="131"/>
      <c r="C23" s="22"/>
      <c r="D23" s="22"/>
      <c r="E23" s="22"/>
      <c r="F23" s="22"/>
      <c r="G23" s="22"/>
      <c r="H23" s="22"/>
      <c r="I23" s="22"/>
      <c r="J23" s="22"/>
      <c r="K23" s="22"/>
      <c r="L23" s="22"/>
      <c r="M23" s="22"/>
      <c r="N23" s="120"/>
    </row>
    <row r="24" spans="2:14" x14ac:dyDescent="0.35">
      <c r="B24" s="131"/>
      <c r="C24" s="22"/>
      <c r="D24" s="22"/>
      <c r="E24" s="22"/>
      <c r="F24" s="22"/>
      <c r="G24" s="22"/>
      <c r="H24" s="22"/>
      <c r="I24" s="22"/>
      <c r="J24" s="22"/>
      <c r="K24" s="22"/>
      <c r="L24" s="22"/>
      <c r="M24" s="22"/>
      <c r="N24" s="120"/>
    </row>
    <row r="25" spans="2:14" x14ac:dyDescent="0.35">
      <c r="B25" s="131"/>
      <c r="C25" s="22"/>
      <c r="D25" s="22"/>
      <c r="E25" s="22"/>
      <c r="F25" s="22"/>
      <c r="G25" s="22"/>
      <c r="H25" s="22"/>
      <c r="I25" s="22"/>
      <c r="J25" s="22"/>
      <c r="K25" s="22"/>
      <c r="L25" s="22"/>
      <c r="M25" s="22"/>
      <c r="N25" s="120"/>
    </row>
    <row r="26" spans="2:14" x14ac:dyDescent="0.35">
      <c r="B26" s="131"/>
      <c r="C26" s="22"/>
      <c r="D26" s="22"/>
      <c r="E26" s="22"/>
      <c r="F26" s="22"/>
      <c r="G26" s="22"/>
      <c r="H26" s="22"/>
      <c r="I26" s="22"/>
      <c r="J26" s="22"/>
      <c r="K26" s="22"/>
      <c r="L26" s="22"/>
      <c r="M26" s="22"/>
      <c r="N26" s="120"/>
    </row>
    <row r="27" spans="2:14" x14ac:dyDescent="0.35">
      <c r="B27" s="131"/>
      <c r="C27" s="22"/>
      <c r="D27" s="22"/>
      <c r="E27" s="22"/>
      <c r="F27" s="22"/>
      <c r="G27" s="22"/>
      <c r="H27" s="22"/>
      <c r="I27" s="22"/>
      <c r="J27" s="22"/>
      <c r="K27" s="22"/>
      <c r="L27" s="22"/>
      <c r="M27" s="22"/>
      <c r="N27" s="120"/>
    </row>
    <row r="28" spans="2:14" x14ac:dyDescent="0.35">
      <c r="B28" s="131"/>
      <c r="C28" s="22"/>
      <c r="D28" s="22"/>
      <c r="E28" s="22"/>
      <c r="F28" s="22"/>
      <c r="G28" s="22"/>
      <c r="H28" s="22"/>
      <c r="I28" s="22"/>
      <c r="J28" s="22"/>
      <c r="K28" s="22"/>
      <c r="L28" s="22"/>
      <c r="M28" s="22"/>
      <c r="N28" s="120"/>
    </row>
    <row r="29" spans="2:14" x14ac:dyDescent="0.35">
      <c r="B29" s="131"/>
      <c r="C29" s="22"/>
      <c r="D29" s="22"/>
      <c r="E29" s="22"/>
      <c r="F29" s="22"/>
      <c r="G29" s="22"/>
      <c r="H29" s="22"/>
      <c r="I29" s="22"/>
      <c r="J29" s="22"/>
      <c r="K29" s="22"/>
      <c r="L29" s="22"/>
      <c r="M29" s="22"/>
      <c r="N29" s="120"/>
    </row>
    <row r="30" spans="2:14" x14ac:dyDescent="0.35">
      <c r="B30" s="131"/>
      <c r="C30" s="22"/>
      <c r="D30" s="22"/>
      <c r="E30" s="22"/>
      <c r="F30" s="22"/>
      <c r="G30" s="22"/>
      <c r="H30" s="22"/>
      <c r="I30" s="22"/>
      <c r="J30" s="22"/>
      <c r="K30" s="22"/>
      <c r="L30" s="22"/>
      <c r="M30" s="22"/>
      <c r="N30" s="120"/>
    </row>
    <row r="31" spans="2:14" x14ac:dyDescent="0.35">
      <c r="B31" s="131"/>
      <c r="C31" s="22"/>
      <c r="D31" s="22"/>
      <c r="E31" s="22"/>
      <c r="F31" s="22"/>
      <c r="G31" s="22"/>
      <c r="H31" s="22"/>
      <c r="I31" s="22"/>
      <c r="J31" s="22"/>
      <c r="K31" s="22"/>
      <c r="L31" s="22"/>
      <c r="M31" s="22"/>
      <c r="N31" s="120"/>
    </row>
    <row r="32" spans="2:14" x14ac:dyDescent="0.35">
      <c r="B32" s="131"/>
      <c r="C32" s="22"/>
      <c r="D32" s="22"/>
      <c r="E32" s="22"/>
      <c r="F32" s="22"/>
      <c r="G32" s="22"/>
      <c r="H32" s="22"/>
      <c r="I32" s="22"/>
      <c r="J32" s="22"/>
      <c r="K32" s="22"/>
      <c r="L32" s="22"/>
      <c r="M32" s="22"/>
      <c r="N32" s="120"/>
    </row>
    <row r="33" spans="2:14" x14ac:dyDescent="0.35">
      <c r="B33" s="131"/>
      <c r="C33" s="22"/>
      <c r="D33" s="22"/>
      <c r="E33" s="22"/>
      <c r="F33" s="22"/>
      <c r="G33" s="22"/>
      <c r="H33" s="22"/>
      <c r="I33" s="22"/>
      <c r="J33" s="22"/>
      <c r="K33" s="22"/>
      <c r="L33" s="22"/>
      <c r="M33" s="22"/>
      <c r="N33" s="120"/>
    </row>
    <row r="34" spans="2:14" ht="57.75" customHeight="1" x14ac:dyDescent="0.35">
      <c r="B34" s="239" t="s">
        <v>3</v>
      </c>
      <c r="C34" s="240"/>
      <c r="D34" s="240"/>
      <c r="E34" s="240"/>
      <c r="F34" s="240"/>
      <c r="G34" s="240"/>
      <c r="H34" s="240"/>
      <c r="I34" s="240"/>
      <c r="J34" s="240"/>
      <c r="K34" s="240"/>
      <c r="L34" s="240"/>
      <c r="M34" s="240"/>
      <c r="N34" s="120"/>
    </row>
    <row r="35" spans="2:14" ht="60" customHeight="1" x14ac:dyDescent="0.35">
      <c r="B35" s="237" t="s">
        <v>4</v>
      </c>
      <c r="C35" s="238"/>
      <c r="D35" s="238"/>
      <c r="E35" s="238"/>
      <c r="F35" s="238"/>
      <c r="G35" s="238"/>
      <c r="H35" s="238"/>
      <c r="I35" s="238"/>
      <c r="J35" s="238"/>
      <c r="K35" s="238"/>
      <c r="L35" s="238"/>
      <c r="M35" s="238"/>
      <c r="N35" s="120"/>
    </row>
    <row r="36" spans="2:14" ht="81.75" customHeight="1" thickBot="1" x14ac:dyDescent="0.4">
      <c r="B36" s="229" t="s">
        <v>5</v>
      </c>
      <c r="C36" s="230"/>
      <c r="D36" s="230"/>
      <c r="E36" s="230"/>
      <c r="F36" s="230"/>
      <c r="G36" s="230"/>
      <c r="H36" s="230"/>
      <c r="I36" s="230"/>
      <c r="J36" s="230"/>
      <c r="K36" s="230"/>
      <c r="L36" s="230"/>
      <c r="M36" s="230"/>
      <c r="N36" s="134"/>
    </row>
    <row r="37" spans="2:14" ht="15" thickTop="1" x14ac:dyDescent="0.35">
      <c r="B37" s="30"/>
      <c r="C37" s="30"/>
      <c r="D37" s="30"/>
      <c r="E37" s="30"/>
      <c r="F37" s="30"/>
      <c r="G37" s="30"/>
      <c r="H37" s="30"/>
      <c r="I37" s="30"/>
      <c r="J37" s="30"/>
      <c r="K37" s="30"/>
      <c r="L37" s="30"/>
      <c r="M37" s="30"/>
    </row>
    <row r="38" spans="2:14" x14ac:dyDescent="0.35">
      <c r="B38" s="30"/>
      <c r="C38" s="30"/>
      <c r="D38" s="30"/>
      <c r="E38" s="30"/>
      <c r="F38" s="30"/>
      <c r="G38" s="30"/>
      <c r="H38" s="30"/>
      <c r="I38" s="30"/>
      <c r="J38" s="30"/>
      <c r="K38" s="30"/>
      <c r="L38" s="30"/>
      <c r="M38" s="30"/>
    </row>
    <row r="39" spans="2:14" x14ac:dyDescent="0.35">
      <c r="B39" s="30"/>
      <c r="C39" s="30"/>
      <c r="D39" s="30"/>
      <c r="E39" s="30"/>
      <c r="F39" s="30"/>
      <c r="G39" s="30"/>
      <c r="H39" s="30"/>
      <c r="I39" s="30"/>
      <c r="J39" s="30"/>
      <c r="K39" s="30"/>
      <c r="L39" s="30"/>
      <c r="M39" s="30"/>
    </row>
    <row r="40" spans="2:14" x14ac:dyDescent="0.35">
      <c r="B40" s="30"/>
      <c r="C40" s="30"/>
      <c r="D40" s="30"/>
      <c r="E40" s="30"/>
      <c r="F40" s="30"/>
      <c r="G40" s="30"/>
      <c r="H40" s="30"/>
      <c r="I40" s="30"/>
      <c r="J40" s="30"/>
      <c r="K40" s="30"/>
      <c r="L40" s="30"/>
      <c r="M40" s="30"/>
    </row>
    <row r="41" spans="2:14" x14ac:dyDescent="0.35">
      <c r="B41" s="30"/>
      <c r="C41" s="30"/>
      <c r="D41" s="30"/>
      <c r="E41" s="30"/>
      <c r="F41" s="30"/>
      <c r="G41" s="30"/>
      <c r="H41" s="30"/>
      <c r="I41" s="30"/>
      <c r="J41" s="30"/>
      <c r="K41" s="30"/>
      <c r="L41" s="30"/>
      <c r="M41" s="30"/>
    </row>
    <row r="42" spans="2:14" x14ac:dyDescent="0.35">
      <c r="B42" s="30"/>
      <c r="C42" s="30"/>
      <c r="D42" s="30"/>
      <c r="E42" s="30"/>
      <c r="F42" s="30"/>
      <c r="G42" s="30"/>
      <c r="H42" s="30"/>
      <c r="I42" s="30"/>
      <c r="J42" s="30"/>
      <c r="K42" s="30"/>
      <c r="L42" s="30"/>
      <c r="M42" s="30"/>
    </row>
    <row r="43" spans="2:14" x14ac:dyDescent="0.35">
      <c r="B43" s="30"/>
      <c r="C43" s="30"/>
      <c r="D43" s="30"/>
      <c r="E43" s="30"/>
      <c r="F43" s="30"/>
      <c r="G43" s="30"/>
      <c r="H43" s="30"/>
      <c r="I43" s="30"/>
      <c r="J43" s="30"/>
      <c r="K43" s="30"/>
      <c r="L43" s="30"/>
      <c r="M43" s="30"/>
    </row>
    <row r="44" spans="2:14" x14ac:dyDescent="0.35">
      <c r="B44" s="30"/>
      <c r="C44" s="30"/>
      <c r="D44" s="30"/>
      <c r="E44" s="30"/>
      <c r="F44" s="30"/>
      <c r="G44" s="30"/>
      <c r="H44" s="30"/>
      <c r="I44" s="30"/>
      <c r="J44" s="30"/>
      <c r="K44" s="30"/>
      <c r="L44" s="30"/>
      <c r="M44" s="30"/>
    </row>
    <row r="45" spans="2:14" x14ac:dyDescent="0.35">
      <c r="B45" s="30"/>
      <c r="C45" s="30"/>
      <c r="D45" s="30"/>
      <c r="E45" s="30"/>
      <c r="F45" s="30"/>
      <c r="G45" s="30"/>
      <c r="H45" s="30"/>
      <c r="I45" s="30"/>
      <c r="J45" s="30"/>
      <c r="K45" s="30"/>
      <c r="L45" s="30"/>
      <c r="M45" s="30"/>
    </row>
    <row r="46" spans="2:14" x14ac:dyDescent="0.35">
      <c r="B46" s="30"/>
      <c r="C46" s="30"/>
      <c r="D46" s="30"/>
      <c r="E46" s="30"/>
      <c r="F46" s="30"/>
      <c r="G46" s="30"/>
      <c r="H46" s="30"/>
      <c r="I46" s="30"/>
      <c r="J46" s="30"/>
      <c r="K46" s="30"/>
      <c r="L46" s="30"/>
      <c r="M46" s="30"/>
    </row>
    <row r="47" spans="2:14" x14ac:dyDescent="0.35">
      <c r="B47" s="30"/>
      <c r="C47" s="30"/>
      <c r="D47" s="30"/>
      <c r="E47" s="30"/>
      <c r="F47" s="30"/>
      <c r="G47" s="30"/>
      <c r="H47" s="30"/>
      <c r="I47" s="30"/>
      <c r="J47" s="30"/>
      <c r="K47" s="30"/>
      <c r="L47" s="30"/>
      <c r="M47" s="30"/>
    </row>
    <row r="48" spans="2:14"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30"/>
      <c r="C57" s="30"/>
      <c r="D57" s="30"/>
      <c r="E57" s="30"/>
      <c r="F57" s="30"/>
      <c r="G57" s="30"/>
      <c r="H57" s="30"/>
      <c r="I57" s="30"/>
      <c r="J57" s="30"/>
      <c r="K57" s="30"/>
      <c r="L57" s="30"/>
      <c r="M57" s="30"/>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30"/>
      <c r="C60" s="30"/>
      <c r="D60" s="30"/>
      <c r="E60" s="30"/>
      <c r="F60" s="30"/>
      <c r="G60" s="30"/>
      <c r="H60" s="30"/>
      <c r="I60" s="30"/>
      <c r="J60" s="30"/>
      <c r="K60" s="30"/>
      <c r="L60" s="30"/>
      <c r="M60" s="30"/>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row r="63" spans="2:13" x14ac:dyDescent="0.35">
      <c r="B63" s="30"/>
      <c r="C63" s="30"/>
      <c r="D63" s="30"/>
      <c r="E63" s="30"/>
      <c r="F63" s="30"/>
      <c r="G63" s="30"/>
      <c r="H63" s="30"/>
      <c r="I63" s="30"/>
      <c r="J63" s="30"/>
      <c r="K63" s="30"/>
      <c r="L63" s="30"/>
      <c r="M63" s="30"/>
    </row>
    <row r="64" spans="2:13" x14ac:dyDescent="0.35">
      <c r="B64" s="30"/>
      <c r="C64" s="30"/>
      <c r="D64" s="30"/>
      <c r="E64" s="30"/>
      <c r="F64" s="30"/>
      <c r="G64" s="30"/>
      <c r="H64" s="30"/>
      <c r="I64" s="30"/>
      <c r="J64" s="30"/>
      <c r="K64" s="30"/>
      <c r="L64" s="30"/>
      <c r="M64" s="30"/>
    </row>
    <row r="65" spans="2:13" x14ac:dyDescent="0.35">
      <c r="B65" s="30"/>
      <c r="C65" s="30"/>
      <c r="D65" s="30"/>
      <c r="E65" s="30"/>
      <c r="F65" s="30"/>
      <c r="G65" s="30"/>
      <c r="H65" s="30"/>
      <c r="I65" s="30"/>
      <c r="J65" s="30"/>
      <c r="K65" s="30"/>
      <c r="L65" s="30"/>
      <c r="M65" s="30"/>
    </row>
    <row r="66" spans="2:13" x14ac:dyDescent="0.35">
      <c r="B66" s="30"/>
      <c r="C66" s="30"/>
      <c r="D66" s="30"/>
      <c r="E66" s="30"/>
      <c r="F66" s="30"/>
      <c r="G66" s="30"/>
      <c r="H66" s="30"/>
      <c r="I66" s="30"/>
      <c r="J66" s="30"/>
      <c r="K66" s="30"/>
      <c r="L66" s="30"/>
      <c r="M66" s="30"/>
    </row>
    <row r="67" spans="2:13" x14ac:dyDescent="0.35">
      <c r="B67" s="30"/>
      <c r="C67" s="30"/>
      <c r="D67" s="30"/>
      <c r="E67" s="30"/>
      <c r="F67" s="30"/>
      <c r="G67" s="30"/>
      <c r="H67" s="30"/>
      <c r="I67" s="30"/>
      <c r="J67" s="30"/>
      <c r="K67" s="30"/>
      <c r="L67" s="30"/>
      <c r="M67" s="30"/>
    </row>
    <row r="68" spans="2:13" x14ac:dyDescent="0.35">
      <c r="B68" s="30"/>
      <c r="C68" s="30"/>
      <c r="D68" s="30"/>
      <c r="E68" s="30"/>
      <c r="F68" s="30"/>
      <c r="G68" s="30"/>
      <c r="H68" s="30"/>
      <c r="I68" s="30"/>
      <c r="J68" s="30"/>
      <c r="K68" s="30"/>
      <c r="L68" s="30"/>
      <c r="M68" s="30"/>
    </row>
    <row r="69" spans="2:13" x14ac:dyDescent="0.35">
      <c r="B69" s="30"/>
      <c r="C69" s="30"/>
      <c r="D69" s="30"/>
      <c r="E69" s="30"/>
      <c r="F69" s="30"/>
      <c r="G69" s="30"/>
      <c r="H69" s="30"/>
      <c r="I69" s="30"/>
      <c r="J69" s="30"/>
      <c r="K69" s="30"/>
      <c r="L69" s="30"/>
      <c r="M69" s="30"/>
    </row>
    <row r="70" spans="2:13" x14ac:dyDescent="0.35">
      <c r="B70" s="30"/>
      <c r="C70" s="30"/>
      <c r="D70" s="30"/>
      <c r="E70" s="30"/>
      <c r="F70" s="30"/>
      <c r="G70" s="30"/>
      <c r="H70" s="30"/>
      <c r="I70" s="30"/>
      <c r="J70" s="30"/>
      <c r="K70" s="30"/>
      <c r="L70" s="30"/>
      <c r="M70" s="30"/>
    </row>
    <row r="71" spans="2:13" x14ac:dyDescent="0.35">
      <c r="B71" s="30"/>
      <c r="C71" s="30"/>
      <c r="D71" s="30"/>
      <c r="E71" s="30"/>
      <c r="F71" s="30"/>
      <c r="G71" s="30"/>
      <c r="H71" s="30"/>
      <c r="I71" s="30"/>
      <c r="J71" s="30"/>
      <c r="K71" s="30"/>
      <c r="L71" s="30"/>
      <c r="M71" s="30"/>
    </row>
    <row r="72" spans="2:13" x14ac:dyDescent="0.35">
      <c r="B72" s="30"/>
      <c r="C72" s="30"/>
      <c r="D72" s="30"/>
      <c r="E72" s="30"/>
      <c r="F72" s="30"/>
      <c r="G72" s="30"/>
      <c r="H72" s="30"/>
      <c r="I72" s="30"/>
      <c r="J72" s="30"/>
      <c r="K72" s="30"/>
      <c r="L72" s="30"/>
      <c r="M72" s="30"/>
    </row>
    <row r="73" spans="2:13" x14ac:dyDescent="0.35">
      <c r="B73" s="30"/>
      <c r="C73" s="30"/>
      <c r="D73" s="30"/>
      <c r="E73" s="30"/>
      <c r="F73" s="30"/>
      <c r="G73" s="30"/>
      <c r="H73" s="30"/>
      <c r="I73" s="30"/>
      <c r="J73" s="30"/>
      <c r="K73" s="30"/>
      <c r="L73" s="30"/>
      <c r="M73" s="30"/>
    </row>
    <row r="74" spans="2:13" x14ac:dyDescent="0.35">
      <c r="B74" s="30"/>
      <c r="C74" s="30"/>
      <c r="D74" s="30"/>
      <c r="E74" s="30"/>
      <c r="F74" s="30"/>
      <c r="G74" s="30"/>
      <c r="H74" s="30"/>
      <c r="I74" s="30"/>
      <c r="J74" s="30"/>
      <c r="K74" s="30"/>
      <c r="L74" s="30"/>
      <c r="M74" s="30"/>
    </row>
    <row r="75" spans="2:13" x14ac:dyDescent="0.35">
      <c r="B75" s="30"/>
      <c r="C75" s="30"/>
      <c r="D75" s="30"/>
      <c r="E75" s="30"/>
      <c r="F75" s="30"/>
      <c r="G75" s="30"/>
      <c r="H75" s="30"/>
      <c r="I75" s="30"/>
      <c r="J75" s="30"/>
      <c r="K75" s="30"/>
      <c r="L75" s="30"/>
      <c r="M75" s="30"/>
    </row>
    <row r="76" spans="2:13" x14ac:dyDescent="0.35">
      <c r="B76" s="30"/>
      <c r="C76" s="30"/>
      <c r="D76" s="30"/>
      <c r="E76" s="30"/>
      <c r="F76" s="30"/>
      <c r="G76" s="30"/>
      <c r="H76" s="30"/>
      <c r="I76" s="30"/>
      <c r="J76" s="30"/>
      <c r="K76" s="30"/>
      <c r="L76" s="30"/>
      <c r="M76" s="30"/>
    </row>
    <row r="77" spans="2:13" x14ac:dyDescent="0.35">
      <c r="B77" s="30"/>
      <c r="C77" s="30"/>
      <c r="D77" s="30"/>
      <c r="E77" s="30"/>
      <c r="F77" s="30"/>
      <c r="G77" s="30"/>
      <c r="H77" s="30"/>
      <c r="I77" s="30"/>
      <c r="J77" s="30"/>
      <c r="K77" s="30"/>
      <c r="L77" s="30"/>
      <c r="M77" s="30"/>
    </row>
    <row r="78" spans="2:13" x14ac:dyDescent="0.35">
      <c r="B78" s="30"/>
      <c r="C78" s="30"/>
      <c r="D78" s="30"/>
      <c r="E78" s="30"/>
      <c r="F78" s="30"/>
      <c r="G78" s="30"/>
      <c r="H78" s="30"/>
      <c r="I78" s="30"/>
      <c r="J78" s="30"/>
      <c r="K78" s="30"/>
      <c r="L78" s="30"/>
      <c r="M78" s="30"/>
    </row>
    <row r="79" spans="2:13" x14ac:dyDescent="0.35">
      <c r="B79" s="30"/>
      <c r="C79" s="30"/>
      <c r="D79" s="30"/>
      <c r="E79" s="30"/>
      <c r="F79" s="30"/>
      <c r="G79" s="30"/>
      <c r="H79" s="30"/>
      <c r="I79" s="30"/>
      <c r="J79" s="30"/>
      <c r="K79" s="30"/>
      <c r="L79" s="30"/>
      <c r="M79" s="30"/>
    </row>
    <row r="80" spans="2:13" x14ac:dyDescent="0.35">
      <c r="B80" s="30"/>
      <c r="C80" s="30"/>
      <c r="D80" s="30"/>
      <c r="E80" s="30"/>
      <c r="F80" s="30"/>
      <c r="G80" s="30"/>
      <c r="H80" s="30"/>
      <c r="I80" s="30"/>
      <c r="J80" s="30"/>
      <c r="K80" s="30"/>
      <c r="L80" s="30"/>
      <c r="M80" s="30"/>
    </row>
    <row r="81" spans="2:13" x14ac:dyDescent="0.35">
      <c r="B81" s="30"/>
      <c r="C81" s="30"/>
      <c r="D81" s="30"/>
      <c r="E81" s="30"/>
      <c r="F81" s="30"/>
      <c r="G81" s="30"/>
      <c r="H81" s="30"/>
      <c r="I81" s="30"/>
      <c r="J81" s="30"/>
      <c r="K81" s="30"/>
      <c r="L81" s="30"/>
      <c r="M81" s="30"/>
    </row>
    <row r="82" spans="2:13" x14ac:dyDescent="0.35">
      <c r="B82" s="30"/>
      <c r="C82" s="30"/>
      <c r="D82" s="30"/>
      <c r="E82" s="30"/>
      <c r="F82" s="30"/>
      <c r="G82" s="30"/>
      <c r="H82" s="30"/>
      <c r="I82" s="30"/>
      <c r="J82" s="30"/>
      <c r="K82" s="30"/>
      <c r="L82" s="30"/>
      <c r="M82" s="30"/>
    </row>
    <row r="83" spans="2:13" x14ac:dyDescent="0.35">
      <c r="B83" s="30"/>
      <c r="C83" s="30"/>
      <c r="D83" s="30"/>
      <c r="E83" s="30"/>
      <c r="F83" s="30"/>
      <c r="G83" s="30"/>
      <c r="H83" s="30"/>
      <c r="I83" s="30"/>
      <c r="J83" s="30"/>
      <c r="K83" s="30"/>
      <c r="L83" s="30"/>
      <c r="M83" s="30"/>
    </row>
    <row r="84" spans="2:13" x14ac:dyDescent="0.35">
      <c r="B84" s="30"/>
      <c r="C84" s="30"/>
      <c r="D84" s="30"/>
      <c r="E84" s="30"/>
      <c r="F84" s="30"/>
      <c r="G84" s="30"/>
      <c r="H84" s="30"/>
      <c r="I84" s="30"/>
      <c r="J84" s="30"/>
      <c r="K84" s="30"/>
      <c r="L84" s="30"/>
      <c r="M84" s="30"/>
    </row>
    <row r="85" spans="2:13" x14ac:dyDescent="0.35">
      <c r="B85" s="30"/>
      <c r="C85" s="30"/>
      <c r="D85" s="30"/>
      <c r="E85" s="30"/>
      <c r="F85" s="30"/>
      <c r="G85" s="30"/>
      <c r="H85" s="30"/>
      <c r="I85" s="30"/>
      <c r="J85" s="30"/>
      <c r="K85" s="30"/>
      <c r="L85" s="30"/>
      <c r="M85" s="30"/>
    </row>
    <row r="86" spans="2:13" x14ac:dyDescent="0.35">
      <c r="B86" s="30"/>
      <c r="C86" s="30"/>
      <c r="D86" s="30"/>
      <c r="E86" s="30"/>
      <c r="F86" s="30"/>
      <c r="G86" s="30"/>
      <c r="H86" s="30"/>
      <c r="I86" s="30"/>
      <c r="J86" s="30"/>
      <c r="K86" s="30"/>
      <c r="L86" s="30"/>
      <c r="M86" s="30"/>
    </row>
    <row r="87" spans="2:13" x14ac:dyDescent="0.35">
      <c r="B87" s="30"/>
      <c r="C87" s="30"/>
      <c r="D87" s="30"/>
      <c r="E87" s="30"/>
      <c r="F87" s="30"/>
      <c r="G87" s="30"/>
      <c r="H87" s="30"/>
      <c r="I87" s="30"/>
      <c r="J87" s="30"/>
      <c r="K87" s="30"/>
      <c r="L87" s="30"/>
      <c r="M87" s="30"/>
    </row>
    <row r="88" spans="2:13" x14ac:dyDescent="0.35">
      <c r="B88" s="30"/>
      <c r="C88" s="30"/>
      <c r="D88" s="30"/>
      <c r="E88" s="30"/>
      <c r="F88" s="30"/>
      <c r="G88" s="30"/>
      <c r="H88" s="30"/>
      <c r="I88" s="30"/>
      <c r="J88" s="30"/>
      <c r="K88" s="30"/>
      <c r="L88" s="30"/>
      <c r="M88" s="30"/>
    </row>
    <row r="89" spans="2:13" x14ac:dyDescent="0.35">
      <c r="B89" s="30"/>
      <c r="C89" s="30"/>
      <c r="D89" s="30"/>
      <c r="E89" s="30"/>
      <c r="F89" s="30"/>
      <c r="G89" s="30"/>
      <c r="H89" s="30"/>
      <c r="I89" s="30"/>
      <c r="J89" s="30"/>
      <c r="K89" s="30"/>
      <c r="L89" s="30"/>
      <c r="M89" s="30"/>
    </row>
    <row r="90" spans="2:13" x14ac:dyDescent="0.35">
      <c r="B90" s="30"/>
      <c r="C90" s="30"/>
      <c r="D90" s="30"/>
      <c r="E90" s="30"/>
      <c r="F90" s="30"/>
      <c r="G90" s="30"/>
      <c r="H90" s="30"/>
      <c r="I90" s="30"/>
      <c r="J90" s="30"/>
      <c r="K90" s="30"/>
      <c r="L90" s="30"/>
      <c r="M90" s="30"/>
    </row>
    <row r="91" spans="2:13" x14ac:dyDescent="0.35">
      <c r="B91" s="30"/>
      <c r="C91" s="30"/>
      <c r="D91" s="30"/>
      <c r="E91" s="30"/>
      <c r="F91" s="30"/>
      <c r="G91" s="30"/>
      <c r="H91" s="30"/>
      <c r="I91" s="30"/>
      <c r="J91" s="30"/>
      <c r="K91" s="30"/>
      <c r="L91" s="30"/>
      <c r="M91" s="30"/>
    </row>
    <row r="92" spans="2:13" x14ac:dyDescent="0.35">
      <c r="B92" s="30"/>
      <c r="C92" s="30"/>
      <c r="D92" s="30"/>
      <c r="E92" s="30"/>
      <c r="F92" s="30"/>
      <c r="G92" s="30"/>
      <c r="H92" s="30"/>
      <c r="I92" s="30"/>
      <c r="J92" s="30"/>
      <c r="K92" s="30"/>
      <c r="L92" s="30"/>
      <c r="M92" s="30"/>
    </row>
    <row r="93" spans="2:13" x14ac:dyDescent="0.35">
      <c r="B93" s="30"/>
      <c r="C93" s="30"/>
      <c r="D93" s="30"/>
      <c r="E93" s="30"/>
      <c r="F93" s="30"/>
      <c r="G93" s="30"/>
      <c r="H93" s="30"/>
      <c r="I93" s="30"/>
      <c r="J93" s="30"/>
      <c r="K93" s="30"/>
      <c r="L93" s="30"/>
      <c r="M93" s="30"/>
    </row>
    <row r="94" spans="2:13" x14ac:dyDescent="0.35">
      <c r="B94" s="30"/>
      <c r="C94" s="30"/>
      <c r="D94" s="30"/>
      <c r="E94" s="30"/>
      <c r="F94" s="30"/>
      <c r="G94" s="30"/>
      <c r="H94" s="30"/>
      <c r="I94" s="30"/>
      <c r="J94" s="30"/>
      <c r="K94" s="30"/>
      <c r="L94" s="30"/>
      <c r="M94" s="30"/>
    </row>
    <row r="95" spans="2:13" x14ac:dyDescent="0.35">
      <c r="B95" s="30"/>
      <c r="C95" s="30"/>
      <c r="D95" s="30"/>
      <c r="E95" s="30"/>
      <c r="F95" s="30"/>
      <c r="G95" s="30"/>
      <c r="H95" s="30"/>
      <c r="I95" s="30"/>
      <c r="J95" s="30"/>
      <c r="K95" s="30"/>
      <c r="L95" s="30"/>
      <c r="M95" s="30"/>
    </row>
    <row r="96" spans="2:13" x14ac:dyDescent="0.35">
      <c r="B96" s="30"/>
      <c r="C96" s="30"/>
      <c r="D96" s="30"/>
      <c r="E96" s="30"/>
      <c r="F96" s="30"/>
      <c r="G96" s="30"/>
      <c r="H96" s="30"/>
      <c r="I96" s="30"/>
      <c r="J96" s="30"/>
      <c r="K96" s="30"/>
      <c r="L96" s="30"/>
      <c r="M96" s="30"/>
    </row>
    <row r="97" spans="2:13" x14ac:dyDescent="0.35">
      <c r="B97" s="30"/>
      <c r="C97" s="30"/>
      <c r="D97" s="30"/>
      <c r="E97" s="30"/>
      <c r="F97" s="30"/>
      <c r="G97" s="30"/>
      <c r="H97" s="30"/>
      <c r="I97" s="30"/>
      <c r="J97" s="30"/>
      <c r="K97" s="30"/>
      <c r="L97" s="30"/>
      <c r="M97" s="30"/>
    </row>
    <row r="98" spans="2:13" x14ac:dyDescent="0.35">
      <c r="B98" s="30"/>
      <c r="C98" s="30"/>
      <c r="D98" s="30"/>
      <c r="E98" s="30"/>
      <c r="F98" s="30"/>
      <c r="G98" s="30"/>
      <c r="H98" s="30"/>
      <c r="I98" s="30"/>
      <c r="J98" s="30"/>
      <c r="K98" s="30"/>
      <c r="L98" s="30"/>
      <c r="M98" s="30"/>
    </row>
    <row r="99" spans="2:13" x14ac:dyDescent="0.35">
      <c r="B99" s="30"/>
      <c r="C99" s="30"/>
      <c r="D99" s="30"/>
      <c r="E99" s="30"/>
      <c r="F99" s="30"/>
      <c r="G99" s="30"/>
      <c r="H99" s="30"/>
      <c r="I99" s="30"/>
      <c r="J99" s="30"/>
      <c r="K99" s="30"/>
      <c r="L99" s="30"/>
      <c r="M99" s="30"/>
    </row>
    <row r="100" spans="2:13" x14ac:dyDescent="0.35">
      <c r="B100" s="30"/>
      <c r="C100" s="30"/>
      <c r="D100" s="30"/>
      <c r="E100" s="30"/>
      <c r="F100" s="30"/>
      <c r="G100" s="30"/>
      <c r="H100" s="30"/>
      <c r="I100" s="30"/>
      <c r="J100" s="30"/>
      <c r="K100" s="30"/>
      <c r="L100" s="30"/>
      <c r="M100" s="30"/>
    </row>
    <row r="101" spans="2:13" x14ac:dyDescent="0.35">
      <c r="B101" s="30"/>
      <c r="C101" s="30"/>
      <c r="D101" s="30"/>
      <c r="E101" s="30"/>
      <c r="F101" s="30"/>
      <c r="G101" s="30"/>
      <c r="H101" s="30"/>
      <c r="I101" s="30"/>
      <c r="J101" s="30"/>
      <c r="K101" s="30"/>
      <c r="L101" s="30"/>
      <c r="M101" s="30"/>
    </row>
    <row r="102" spans="2:13" x14ac:dyDescent="0.35">
      <c r="B102" s="30"/>
      <c r="C102" s="30"/>
      <c r="D102" s="30"/>
      <c r="E102" s="30"/>
      <c r="F102" s="30"/>
      <c r="G102" s="30"/>
      <c r="H102" s="30"/>
      <c r="I102" s="30"/>
      <c r="J102" s="30"/>
      <c r="K102" s="30"/>
      <c r="L102" s="30"/>
      <c r="M102" s="30"/>
    </row>
    <row r="103" spans="2:13" x14ac:dyDescent="0.35">
      <c r="B103" s="30"/>
      <c r="C103" s="30"/>
      <c r="D103" s="30"/>
      <c r="E103" s="30"/>
      <c r="F103" s="30"/>
      <c r="G103" s="30"/>
      <c r="H103" s="30"/>
      <c r="I103" s="30"/>
      <c r="J103" s="30"/>
      <c r="K103" s="30"/>
      <c r="L103" s="30"/>
      <c r="M103" s="30"/>
    </row>
    <row r="104" spans="2:13" x14ac:dyDescent="0.35">
      <c r="B104" s="30"/>
      <c r="C104" s="30"/>
      <c r="D104" s="30"/>
      <c r="E104" s="30"/>
      <c r="F104" s="30"/>
      <c r="G104" s="30"/>
      <c r="H104" s="30"/>
      <c r="I104" s="30"/>
      <c r="J104" s="30"/>
      <c r="K104" s="30"/>
      <c r="L104" s="30"/>
      <c r="M104" s="30"/>
    </row>
    <row r="105" spans="2:13" x14ac:dyDescent="0.35">
      <c r="B105" s="30"/>
      <c r="C105" s="30"/>
      <c r="D105" s="30"/>
      <c r="E105" s="30"/>
      <c r="F105" s="30"/>
      <c r="G105" s="30"/>
      <c r="H105" s="30"/>
      <c r="I105" s="30"/>
      <c r="J105" s="30"/>
      <c r="K105" s="30"/>
      <c r="L105" s="30"/>
      <c r="M105" s="30"/>
    </row>
    <row r="106" spans="2:13" x14ac:dyDescent="0.35">
      <c r="B106" s="30"/>
      <c r="C106" s="30"/>
      <c r="D106" s="30"/>
      <c r="E106" s="30"/>
      <c r="F106" s="30"/>
      <c r="G106" s="30"/>
      <c r="H106" s="30"/>
      <c r="I106" s="30"/>
      <c r="J106" s="30"/>
      <c r="K106" s="30"/>
      <c r="L106" s="30"/>
      <c r="M106" s="30"/>
    </row>
    <row r="107" spans="2:13" x14ac:dyDescent="0.35">
      <c r="B107" s="30"/>
      <c r="C107" s="30"/>
      <c r="D107" s="30"/>
      <c r="E107" s="30"/>
      <c r="F107" s="30"/>
      <c r="G107" s="30"/>
      <c r="H107" s="30"/>
      <c r="I107" s="30"/>
      <c r="J107" s="30"/>
      <c r="K107" s="30"/>
      <c r="L107" s="30"/>
      <c r="M107" s="30"/>
    </row>
    <row r="108" spans="2:13" x14ac:dyDescent="0.35">
      <c r="B108" s="30"/>
      <c r="C108" s="30"/>
      <c r="D108" s="30"/>
      <c r="E108" s="30"/>
      <c r="F108" s="30"/>
      <c r="G108" s="30"/>
      <c r="H108" s="30"/>
      <c r="I108" s="30"/>
      <c r="J108" s="30"/>
      <c r="K108" s="30"/>
      <c r="L108" s="30"/>
      <c r="M108" s="30"/>
    </row>
    <row r="109" spans="2:13" x14ac:dyDescent="0.35">
      <c r="B109" s="30"/>
      <c r="C109" s="30"/>
      <c r="D109" s="30"/>
      <c r="E109" s="30"/>
      <c r="F109" s="30"/>
      <c r="G109" s="30"/>
      <c r="H109" s="30"/>
      <c r="I109" s="30"/>
      <c r="J109" s="30"/>
      <c r="K109" s="30"/>
      <c r="L109" s="30"/>
      <c r="M109" s="30"/>
    </row>
    <row r="110" spans="2:13" x14ac:dyDescent="0.35">
      <c r="B110" s="30"/>
      <c r="C110" s="30"/>
      <c r="D110" s="30"/>
      <c r="E110" s="30"/>
      <c r="F110" s="30"/>
      <c r="G110" s="30"/>
      <c r="H110" s="30"/>
      <c r="I110" s="30"/>
      <c r="J110" s="30"/>
      <c r="K110" s="30"/>
      <c r="L110" s="30"/>
      <c r="M110" s="30"/>
    </row>
    <row r="111" spans="2:13" x14ac:dyDescent="0.35">
      <c r="B111" s="30"/>
      <c r="C111" s="30"/>
      <c r="D111" s="30"/>
      <c r="E111" s="30"/>
      <c r="F111" s="30"/>
      <c r="G111" s="30"/>
      <c r="H111" s="30"/>
      <c r="I111" s="30"/>
      <c r="J111" s="30"/>
      <c r="K111" s="30"/>
      <c r="L111" s="30"/>
      <c r="M111" s="30"/>
    </row>
    <row r="112" spans="2:13" x14ac:dyDescent="0.35">
      <c r="B112" s="30"/>
      <c r="C112" s="30"/>
      <c r="D112" s="30"/>
      <c r="E112" s="30"/>
      <c r="F112" s="30"/>
      <c r="G112" s="30"/>
      <c r="H112" s="30"/>
      <c r="I112" s="30"/>
      <c r="J112" s="30"/>
      <c r="K112" s="30"/>
      <c r="L112" s="30"/>
      <c r="M112" s="30"/>
    </row>
    <row r="113" spans="2:13" x14ac:dyDescent="0.35">
      <c r="B113" s="30"/>
      <c r="C113" s="30"/>
      <c r="D113" s="30"/>
      <c r="E113" s="30"/>
      <c r="F113" s="30"/>
      <c r="G113" s="30"/>
      <c r="H113" s="30"/>
      <c r="I113" s="30"/>
      <c r="J113" s="30"/>
      <c r="K113" s="30"/>
      <c r="L113" s="30"/>
      <c r="M113" s="30"/>
    </row>
    <row r="114" spans="2:13" x14ac:dyDescent="0.35">
      <c r="B114" s="30"/>
      <c r="C114" s="30"/>
      <c r="D114" s="30"/>
      <c r="E114" s="30"/>
      <c r="F114" s="30"/>
      <c r="G114" s="30"/>
      <c r="H114" s="30"/>
      <c r="I114" s="30"/>
      <c r="J114" s="30"/>
      <c r="K114" s="30"/>
      <c r="L114" s="30"/>
      <c r="M114" s="30"/>
    </row>
    <row r="115" spans="2:13" x14ac:dyDescent="0.35">
      <c r="B115" s="30"/>
      <c r="C115" s="30"/>
      <c r="D115" s="30"/>
      <c r="E115" s="30"/>
      <c r="F115" s="30"/>
      <c r="G115" s="30"/>
      <c r="H115" s="30"/>
      <c r="I115" s="30"/>
      <c r="J115" s="30"/>
      <c r="K115" s="30"/>
      <c r="L115" s="30"/>
      <c r="M115" s="30"/>
    </row>
    <row r="116" spans="2:13" x14ac:dyDescent="0.35">
      <c r="B116" s="30"/>
      <c r="C116" s="30"/>
      <c r="D116" s="30"/>
      <c r="E116" s="30"/>
      <c r="F116" s="30"/>
      <c r="G116" s="30"/>
      <c r="H116" s="30"/>
      <c r="I116" s="30"/>
      <c r="J116" s="30"/>
      <c r="K116" s="30"/>
      <c r="L116" s="30"/>
      <c r="M116" s="30"/>
    </row>
    <row r="117" spans="2:13" x14ac:dyDescent="0.35">
      <c r="B117" s="30"/>
      <c r="C117" s="30"/>
      <c r="D117" s="30"/>
      <c r="E117" s="30"/>
      <c r="F117" s="30"/>
      <c r="G117" s="30"/>
      <c r="H117" s="30"/>
      <c r="I117" s="30"/>
      <c r="J117" s="30"/>
      <c r="K117" s="30"/>
      <c r="L117" s="30"/>
      <c r="M117" s="30"/>
    </row>
    <row r="118" spans="2:13" x14ac:dyDescent="0.35">
      <c r="B118" s="30"/>
      <c r="C118" s="30"/>
      <c r="D118" s="30"/>
      <c r="E118" s="30"/>
      <c r="F118" s="30"/>
      <c r="G118" s="30"/>
      <c r="H118" s="30"/>
      <c r="I118" s="30"/>
      <c r="J118" s="30"/>
      <c r="K118" s="30"/>
      <c r="L118" s="30"/>
      <c r="M118" s="30"/>
    </row>
    <row r="119" spans="2:13" x14ac:dyDescent="0.35">
      <c r="B119" s="30"/>
      <c r="C119" s="30"/>
      <c r="D119" s="30"/>
      <c r="E119" s="30"/>
      <c r="F119" s="30"/>
      <c r="G119" s="30"/>
      <c r="H119" s="30"/>
      <c r="I119" s="30"/>
      <c r="J119" s="30"/>
      <c r="K119" s="30"/>
      <c r="L119" s="30"/>
      <c r="M119" s="30"/>
    </row>
    <row r="120" spans="2:13" x14ac:dyDescent="0.35">
      <c r="B120" s="30"/>
      <c r="C120" s="30"/>
      <c r="D120" s="30"/>
      <c r="E120" s="30"/>
      <c r="F120" s="30"/>
      <c r="G120" s="30"/>
      <c r="H120" s="30"/>
      <c r="I120" s="30"/>
      <c r="J120" s="30"/>
      <c r="K120" s="30"/>
      <c r="L120" s="30"/>
      <c r="M120" s="30"/>
    </row>
    <row r="121" spans="2:13" x14ac:dyDescent="0.35">
      <c r="B121" s="30"/>
      <c r="C121" s="30"/>
      <c r="D121" s="30"/>
      <c r="E121" s="30"/>
      <c r="F121" s="30"/>
      <c r="G121" s="30"/>
      <c r="H121" s="30"/>
      <c r="I121" s="30"/>
      <c r="J121" s="30"/>
      <c r="K121" s="30"/>
      <c r="L121" s="30"/>
      <c r="M121" s="30"/>
    </row>
  </sheetData>
  <sheetProtection sheet="1" objects="1" scenarios="1" selectLockedCells="1" selectUnlockedCells="1"/>
  <mergeCells count="6">
    <mergeCell ref="B36:M36"/>
    <mergeCell ref="B3:N5"/>
    <mergeCell ref="B7:M7"/>
    <mergeCell ref="B8:M8"/>
    <mergeCell ref="B34:M34"/>
    <mergeCell ref="B35:M3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91442-B57F-4B06-A0F1-A40DED717088}">
  <sheetPr codeName="Sheet3"/>
  <dimension ref="A3:AH96"/>
  <sheetViews>
    <sheetView showRowColHeaders="0" topLeftCell="H1" zoomScaleNormal="100" workbookViewId="0">
      <selection activeCell="B9" sqref="B9:M9"/>
    </sheetView>
  </sheetViews>
  <sheetFormatPr defaultColWidth="9.1796875" defaultRowHeight="14.5" x14ac:dyDescent="0.35"/>
  <cols>
    <col min="1" max="13" width="9.1796875" style="135"/>
    <col min="14" max="14" width="1.7265625" style="135" customWidth="1"/>
    <col min="15" max="25" width="9.1796875" style="135"/>
    <col min="26" max="26" width="4.453125" style="135" customWidth="1"/>
    <col min="27" max="27" width="2.81640625" style="135" hidden="1" customWidth="1"/>
    <col min="28" max="29" width="9.1796875" style="135" hidden="1" customWidth="1"/>
    <col min="30" max="30" width="8.54296875" style="135" hidden="1" customWidth="1"/>
    <col min="31" max="31" width="0.453125" style="135" customWidth="1"/>
    <col min="32" max="16384" width="9.1796875" style="135"/>
  </cols>
  <sheetData>
    <row r="3" spans="1:34" ht="15.75" customHeight="1" x14ac:dyDescent="0.35">
      <c r="A3" s="206"/>
      <c r="B3" s="243" t="s">
        <v>6</v>
      </c>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24"/>
      <c r="AG3" s="224"/>
      <c r="AH3" s="224"/>
    </row>
    <row r="4" spans="1:34" ht="15" customHeight="1" x14ac:dyDescent="0.35">
      <c r="A4" s="206"/>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24"/>
      <c r="AG4" s="224"/>
      <c r="AH4" s="224"/>
    </row>
    <row r="5" spans="1:34" ht="8.15" customHeight="1" x14ac:dyDescent="0.35">
      <c r="B5" s="130"/>
      <c r="C5" s="1"/>
      <c r="D5" s="1"/>
      <c r="E5" s="1"/>
      <c r="F5" s="1"/>
      <c r="G5" s="1"/>
      <c r="H5" s="1"/>
      <c r="I5" s="1"/>
      <c r="J5" s="1"/>
      <c r="K5" s="1"/>
      <c r="L5" s="1"/>
      <c r="M5" s="1"/>
      <c r="N5" s="120"/>
    </row>
    <row r="6" spans="1:34" ht="26.15" customHeight="1" x14ac:dyDescent="0.35">
      <c r="B6" s="237" t="s">
        <v>7</v>
      </c>
      <c r="C6" s="238"/>
      <c r="D6" s="238"/>
      <c r="E6" s="238"/>
      <c r="F6" s="238"/>
      <c r="G6" s="238"/>
      <c r="H6" s="238"/>
      <c r="I6" s="238"/>
      <c r="J6" s="238"/>
      <c r="K6" s="238"/>
      <c r="L6" s="238"/>
      <c r="M6" s="238"/>
      <c r="N6" s="120"/>
    </row>
    <row r="7" spans="1:34" ht="62.5" customHeight="1" x14ac:dyDescent="0.35">
      <c r="B7" s="241" t="s">
        <v>8</v>
      </c>
      <c r="C7" s="242"/>
      <c r="D7" s="242"/>
      <c r="E7" s="242"/>
      <c r="F7" s="242"/>
      <c r="G7" s="242"/>
      <c r="H7" s="242"/>
      <c r="I7" s="242"/>
      <c r="J7" s="242"/>
      <c r="K7" s="242"/>
      <c r="L7" s="242"/>
      <c r="M7" s="242"/>
      <c r="N7" s="120"/>
    </row>
    <row r="8" spans="1:34" ht="63.65" customHeight="1" x14ac:dyDescent="0.35">
      <c r="B8" s="241" t="s">
        <v>9</v>
      </c>
      <c r="C8" s="242"/>
      <c r="D8" s="242"/>
      <c r="E8" s="242"/>
      <c r="F8" s="242"/>
      <c r="G8" s="242"/>
      <c r="H8" s="242"/>
      <c r="I8" s="242"/>
      <c r="J8" s="242"/>
      <c r="K8" s="242"/>
      <c r="L8" s="242"/>
      <c r="M8" s="242"/>
      <c r="N8" s="120"/>
    </row>
    <row r="9" spans="1:34" ht="78" customHeight="1" x14ac:dyDescent="0.35">
      <c r="B9" s="241" t="s">
        <v>10</v>
      </c>
      <c r="C9" s="242"/>
      <c r="D9" s="242"/>
      <c r="E9" s="242"/>
      <c r="F9" s="242"/>
      <c r="G9" s="242"/>
      <c r="H9" s="242"/>
      <c r="I9" s="242"/>
      <c r="J9" s="242"/>
      <c r="K9" s="242"/>
      <c r="L9" s="242"/>
      <c r="M9" s="242"/>
      <c r="N9" s="120"/>
    </row>
    <row r="10" spans="1:34" ht="37.5" customHeight="1" x14ac:dyDescent="0.35">
      <c r="B10" s="241" t="s">
        <v>11</v>
      </c>
      <c r="C10" s="242"/>
      <c r="D10" s="242"/>
      <c r="E10" s="242"/>
      <c r="F10" s="242"/>
      <c r="G10" s="242"/>
      <c r="H10" s="242"/>
      <c r="I10" s="242"/>
      <c r="J10" s="242"/>
      <c r="K10" s="242"/>
      <c r="L10" s="242"/>
      <c r="M10" s="242"/>
      <c r="N10" s="120"/>
    </row>
    <row r="11" spans="1:34" ht="15" customHeight="1" thickBot="1" x14ac:dyDescent="0.4">
      <c r="B11" s="229"/>
      <c r="C11" s="230"/>
      <c r="D11" s="230"/>
      <c r="E11" s="230"/>
      <c r="F11" s="230"/>
      <c r="G11" s="230"/>
      <c r="H11" s="230"/>
      <c r="I11" s="230"/>
      <c r="J11" s="230"/>
      <c r="K11" s="230"/>
      <c r="L11" s="230"/>
      <c r="M11" s="230"/>
      <c r="N11" s="134"/>
    </row>
    <row r="12" spans="1:34" ht="15" thickTop="1" x14ac:dyDescent="0.35">
      <c r="B12" s="30"/>
      <c r="C12" s="30"/>
      <c r="D12" s="30"/>
      <c r="E12" s="30"/>
      <c r="F12" s="30"/>
      <c r="G12" s="30"/>
      <c r="H12" s="30"/>
      <c r="I12" s="30"/>
      <c r="J12" s="30"/>
      <c r="K12" s="30"/>
      <c r="L12" s="30"/>
      <c r="M12" s="30"/>
    </row>
    <row r="13" spans="1:34" x14ac:dyDescent="0.35">
      <c r="B13" s="30"/>
      <c r="C13" s="30"/>
      <c r="D13" s="30"/>
      <c r="E13" s="30"/>
      <c r="F13" s="30"/>
      <c r="G13" s="30"/>
      <c r="H13" s="30"/>
      <c r="I13" s="30"/>
      <c r="J13" s="30"/>
      <c r="K13" s="30"/>
      <c r="L13" s="30"/>
      <c r="M13" s="30"/>
    </row>
    <row r="14" spans="1:34" x14ac:dyDescent="0.35">
      <c r="B14" s="30"/>
      <c r="C14" s="30"/>
      <c r="D14" s="30"/>
      <c r="E14" s="30"/>
      <c r="F14" s="30"/>
      <c r="G14" s="30"/>
      <c r="H14" s="30"/>
      <c r="I14" s="30"/>
      <c r="J14" s="30"/>
      <c r="K14" s="30"/>
      <c r="L14" s="30"/>
      <c r="M14" s="30"/>
    </row>
    <row r="15" spans="1:34" x14ac:dyDescent="0.35">
      <c r="B15" s="30"/>
      <c r="C15" s="30"/>
      <c r="D15" s="30"/>
      <c r="E15" s="30"/>
      <c r="F15" s="30"/>
      <c r="G15" s="30"/>
      <c r="H15" s="30"/>
      <c r="I15" s="30"/>
      <c r="J15" s="30"/>
      <c r="K15" s="30"/>
      <c r="L15" s="30"/>
      <c r="M15" s="30"/>
    </row>
    <row r="16" spans="1:34" x14ac:dyDescent="0.35">
      <c r="B16" s="30"/>
      <c r="C16" s="30"/>
      <c r="D16" s="30"/>
      <c r="E16" s="30"/>
      <c r="F16" s="30"/>
      <c r="G16" s="30"/>
      <c r="H16" s="30"/>
      <c r="I16" s="30"/>
      <c r="J16" s="30"/>
      <c r="K16" s="30"/>
      <c r="L16" s="30"/>
      <c r="M16" s="30"/>
    </row>
    <row r="17" spans="2:13" x14ac:dyDescent="0.35">
      <c r="B17" s="30"/>
      <c r="C17" s="30"/>
      <c r="D17" s="30"/>
      <c r="E17" s="30"/>
      <c r="F17" s="30"/>
      <c r="G17" s="30"/>
      <c r="H17" s="30"/>
      <c r="I17" s="30"/>
      <c r="J17" s="30"/>
      <c r="K17" s="30"/>
      <c r="L17" s="30"/>
      <c r="M17" s="30"/>
    </row>
    <row r="18" spans="2:13" x14ac:dyDescent="0.35">
      <c r="B18" s="30"/>
      <c r="C18" s="30"/>
      <c r="D18" s="30"/>
      <c r="E18" s="30"/>
      <c r="F18" s="30"/>
      <c r="G18" s="30"/>
      <c r="H18" s="30"/>
      <c r="I18" s="30"/>
      <c r="J18" s="30"/>
      <c r="K18" s="30"/>
      <c r="L18" s="30"/>
      <c r="M18" s="30"/>
    </row>
    <row r="19" spans="2:13" x14ac:dyDescent="0.35">
      <c r="B19" s="30"/>
      <c r="C19" s="30"/>
      <c r="D19" s="30"/>
      <c r="E19" s="30"/>
      <c r="F19" s="30"/>
      <c r="G19" s="30"/>
      <c r="H19" s="30"/>
      <c r="I19" s="30"/>
      <c r="J19" s="30"/>
      <c r="K19" s="30"/>
      <c r="L19" s="30"/>
      <c r="M19" s="30"/>
    </row>
    <row r="20" spans="2:13" x14ac:dyDescent="0.35">
      <c r="B20" s="30"/>
      <c r="C20" s="30"/>
      <c r="D20" s="30"/>
      <c r="E20" s="30"/>
      <c r="F20" s="30"/>
      <c r="G20" s="30"/>
      <c r="H20" s="30"/>
      <c r="I20" s="30"/>
      <c r="J20" s="30"/>
      <c r="K20" s="30"/>
      <c r="L20" s="30"/>
      <c r="M20" s="30"/>
    </row>
    <row r="21" spans="2:13" x14ac:dyDescent="0.35">
      <c r="B21" s="30"/>
      <c r="C21" s="30"/>
      <c r="D21" s="30"/>
      <c r="E21" s="30"/>
      <c r="F21" s="30"/>
      <c r="G21" s="30"/>
      <c r="H21" s="30"/>
      <c r="I21" s="30"/>
      <c r="J21" s="30"/>
      <c r="K21" s="30"/>
      <c r="L21" s="30"/>
      <c r="M21" s="30"/>
    </row>
    <row r="22" spans="2:13" x14ac:dyDescent="0.35">
      <c r="B22" s="30"/>
      <c r="C22" s="30"/>
      <c r="D22" s="30"/>
      <c r="E22" s="30"/>
      <c r="F22" s="30"/>
      <c r="G22" s="30"/>
      <c r="H22" s="30"/>
      <c r="I22" s="30"/>
      <c r="J22" s="30"/>
      <c r="K22" s="30"/>
      <c r="L22" s="30"/>
      <c r="M22" s="30"/>
    </row>
    <row r="23" spans="2:13" x14ac:dyDescent="0.35">
      <c r="B23" s="30"/>
      <c r="C23" s="30"/>
      <c r="D23" s="30"/>
      <c r="E23" s="30"/>
      <c r="F23" s="30"/>
      <c r="G23" s="30"/>
      <c r="H23" s="30"/>
      <c r="I23" s="30"/>
      <c r="J23" s="30"/>
      <c r="K23" s="30"/>
      <c r="L23" s="30"/>
      <c r="M23" s="30"/>
    </row>
    <row r="24" spans="2:13" x14ac:dyDescent="0.35">
      <c r="B24" s="30"/>
      <c r="C24" s="30"/>
      <c r="D24" s="30"/>
      <c r="E24" s="30"/>
      <c r="F24" s="30"/>
      <c r="G24" s="30"/>
      <c r="H24" s="30"/>
      <c r="I24" s="30"/>
      <c r="J24" s="30"/>
      <c r="K24" s="30"/>
      <c r="L24" s="30"/>
      <c r="M24" s="30"/>
    </row>
    <row r="25" spans="2:13" x14ac:dyDescent="0.35">
      <c r="B25" s="30"/>
      <c r="C25" s="30"/>
      <c r="D25" s="30"/>
      <c r="E25" s="30"/>
      <c r="F25" s="30"/>
      <c r="G25" s="30"/>
      <c r="H25" s="30"/>
      <c r="I25" s="30"/>
      <c r="J25" s="30"/>
      <c r="K25" s="30"/>
      <c r="L25" s="30"/>
      <c r="M25" s="30"/>
    </row>
    <row r="26" spans="2:13" x14ac:dyDescent="0.35">
      <c r="B26" s="30"/>
      <c r="C26" s="30"/>
      <c r="D26" s="30"/>
      <c r="E26" s="30"/>
      <c r="F26" s="30"/>
      <c r="G26" s="30"/>
      <c r="H26" s="30"/>
      <c r="I26" s="30"/>
      <c r="J26" s="30"/>
      <c r="K26" s="30"/>
      <c r="L26" s="30"/>
      <c r="M26" s="30"/>
    </row>
    <row r="27" spans="2:13" x14ac:dyDescent="0.35">
      <c r="B27" s="30"/>
      <c r="C27" s="30"/>
      <c r="D27" s="30"/>
      <c r="E27" s="30"/>
      <c r="F27" s="30"/>
      <c r="G27" s="30"/>
      <c r="H27" s="30"/>
      <c r="I27" s="30"/>
      <c r="J27" s="30"/>
      <c r="K27" s="30"/>
      <c r="L27" s="30"/>
      <c r="M27" s="30"/>
    </row>
    <row r="28" spans="2:13" x14ac:dyDescent="0.35">
      <c r="B28" s="30"/>
      <c r="C28" s="30"/>
      <c r="D28" s="30"/>
      <c r="E28" s="30"/>
      <c r="F28" s="30"/>
      <c r="G28" s="30"/>
      <c r="H28" s="30"/>
      <c r="I28" s="30"/>
      <c r="J28" s="30"/>
      <c r="K28" s="30"/>
      <c r="L28" s="30"/>
      <c r="M28" s="30"/>
    </row>
    <row r="29" spans="2:13" x14ac:dyDescent="0.35">
      <c r="B29" s="30"/>
      <c r="C29" s="30"/>
      <c r="D29" s="30"/>
      <c r="E29" s="30"/>
      <c r="F29" s="30"/>
      <c r="G29" s="30"/>
      <c r="H29" s="30"/>
      <c r="I29" s="30"/>
      <c r="J29" s="30"/>
      <c r="K29" s="30"/>
      <c r="L29" s="30"/>
      <c r="M29" s="30"/>
    </row>
    <row r="30" spans="2:13" x14ac:dyDescent="0.35">
      <c r="B30" s="30"/>
      <c r="C30" s="30"/>
      <c r="D30" s="30"/>
      <c r="E30" s="30"/>
      <c r="F30" s="30"/>
      <c r="G30" s="30"/>
      <c r="H30" s="30"/>
      <c r="I30" s="30"/>
      <c r="J30" s="30"/>
      <c r="K30" s="30"/>
      <c r="L30" s="30"/>
      <c r="M30" s="30"/>
    </row>
    <row r="31" spans="2:13" x14ac:dyDescent="0.35">
      <c r="B31" s="30"/>
      <c r="C31" s="30"/>
      <c r="D31" s="30"/>
      <c r="E31" s="30"/>
      <c r="F31" s="30"/>
      <c r="G31" s="30"/>
      <c r="H31" s="30"/>
      <c r="I31" s="30"/>
      <c r="J31" s="30"/>
      <c r="K31" s="30"/>
      <c r="L31" s="30"/>
      <c r="M31" s="30"/>
    </row>
    <row r="32" spans="2:13" x14ac:dyDescent="0.35">
      <c r="B32" s="30"/>
      <c r="C32" s="30"/>
      <c r="D32" s="30"/>
      <c r="E32" s="30"/>
      <c r="F32" s="30"/>
      <c r="G32" s="30"/>
      <c r="H32" s="30"/>
      <c r="I32" s="30"/>
      <c r="J32" s="30"/>
      <c r="K32" s="30"/>
      <c r="L32" s="30"/>
      <c r="M32" s="30"/>
    </row>
    <row r="33" spans="2:13" x14ac:dyDescent="0.35">
      <c r="B33" s="30"/>
      <c r="C33" s="30"/>
      <c r="D33" s="30"/>
      <c r="E33" s="30"/>
      <c r="F33" s="30"/>
      <c r="G33" s="30"/>
      <c r="H33" s="30"/>
      <c r="I33" s="30"/>
      <c r="J33" s="30"/>
      <c r="K33" s="30"/>
      <c r="L33" s="30"/>
      <c r="M33" s="30"/>
    </row>
    <row r="34" spans="2:13" x14ac:dyDescent="0.35">
      <c r="B34" s="30"/>
      <c r="C34" s="30"/>
      <c r="D34" s="30"/>
      <c r="E34" s="30"/>
      <c r="F34" s="30"/>
      <c r="G34" s="30"/>
      <c r="H34" s="30"/>
      <c r="I34" s="30"/>
      <c r="J34" s="30"/>
      <c r="K34" s="30"/>
      <c r="L34" s="30"/>
      <c r="M34" s="30"/>
    </row>
    <row r="35" spans="2:13" x14ac:dyDescent="0.35">
      <c r="B35" s="30"/>
      <c r="C35" s="30"/>
      <c r="D35" s="30"/>
      <c r="E35" s="30"/>
      <c r="F35" s="30"/>
      <c r="G35" s="30"/>
      <c r="H35" s="30"/>
      <c r="I35" s="30"/>
      <c r="J35" s="30"/>
      <c r="K35" s="30"/>
      <c r="L35" s="30"/>
      <c r="M35" s="30"/>
    </row>
    <row r="36" spans="2:13" x14ac:dyDescent="0.35">
      <c r="B36" s="30"/>
      <c r="C36" s="30"/>
      <c r="D36" s="30"/>
      <c r="E36" s="30"/>
      <c r="F36" s="30"/>
      <c r="G36" s="30"/>
      <c r="H36" s="30"/>
      <c r="I36" s="30"/>
      <c r="J36" s="30"/>
      <c r="K36" s="30"/>
      <c r="L36" s="30"/>
      <c r="M36" s="30"/>
    </row>
    <row r="37" spans="2:13" x14ac:dyDescent="0.35">
      <c r="B37" s="30"/>
      <c r="C37" s="30"/>
      <c r="D37" s="30"/>
      <c r="E37" s="30"/>
      <c r="F37" s="30"/>
      <c r="G37" s="30"/>
      <c r="H37" s="30"/>
      <c r="I37" s="30"/>
      <c r="J37" s="30"/>
      <c r="K37" s="30"/>
      <c r="L37" s="30"/>
      <c r="M37" s="30"/>
    </row>
    <row r="38" spans="2:13" x14ac:dyDescent="0.35">
      <c r="B38" s="30"/>
      <c r="C38" s="30"/>
      <c r="D38" s="30"/>
      <c r="E38" s="30"/>
      <c r="F38" s="30"/>
      <c r="G38" s="30"/>
      <c r="H38" s="30"/>
      <c r="I38" s="30"/>
      <c r="J38" s="30"/>
      <c r="K38" s="30"/>
      <c r="L38" s="30"/>
      <c r="M38" s="30"/>
    </row>
    <row r="39" spans="2:13" x14ac:dyDescent="0.35">
      <c r="B39" s="30"/>
      <c r="C39" s="30"/>
      <c r="D39" s="30"/>
      <c r="E39" s="30"/>
      <c r="F39" s="30"/>
      <c r="G39" s="30"/>
      <c r="H39" s="30"/>
      <c r="I39" s="30"/>
      <c r="J39" s="30"/>
      <c r="K39" s="30"/>
      <c r="L39" s="30"/>
      <c r="M39" s="30"/>
    </row>
    <row r="40" spans="2:13" x14ac:dyDescent="0.35">
      <c r="B40" s="30"/>
      <c r="C40" s="30"/>
      <c r="D40" s="30"/>
      <c r="E40" s="30"/>
      <c r="F40" s="30"/>
      <c r="G40" s="30"/>
      <c r="H40" s="30"/>
      <c r="I40" s="30"/>
      <c r="J40" s="30"/>
      <c r="K40" s="30"/>
      <c r="L40" s="30"/>
      <c r="M40" s="30"/>
    </row>
    <row r="41" spans="2:13" x14ac:dyDescent="0.35">
      <c r="B41" s="30"/>
      <c r="C41" s="30"/>
      <c r="D41" s="30"/>
      <c r="E41" s="30"/>
      <c r="F41" s="30"/>
      <c r="G41" s="30"/>
      <c r="H41" s="30"/>
      <c r="I41" s="30"/>
      <c r="J41" s="30"/>
      <c r="K41" s="30"/>
      <c r="L41" s="30"/>
      <c r="M41" s="30"/>
    </row>
    <row r="42" spans="2:13" x14ac:dyDescent="0.35">
      <c r="B42" s="30"/>
      <c r="C42" s="30"/>
      <c r="D42" s="30"/>
      <c r="E42" s="30"/>
      <c r="F42" s="30"/>
      <c r="G42" s="30"/>
      <c r="H42" s="30"/>
      <c r="I42" s="30"/>
      <c r="J42" s="30"/>
      <c r="K42" s="30"/>
      <c r="L42" s="30"/>
      <c r="M42" s="30"/>
    </row>
    <row r="43" spans="2:13" x14ac:dyDescent="0.35">
      <c r="B43" s="30"/>
      <c r="C43" s="30"/>
      <c r="D43" s="30"/>
      <c r="E43" s="30"/>
      <c r="F43" s="30"/>
      <c r="G43" s="30"/>
      <c r="H43" s="30"/>
      <c r="I43" s="30"/>
      <c r="J43" s="30"/>
      <c r="K43" s="30"/>
      <c r="L43" s="30"/>
      <c r="M43" s="30"/>
    </row>
    <row r="44" spans="2:13" x14ac:dyDescent="0.35">
      <c r="B44" s="30"/>
      <c r="C44" s="30"/>
      <c r="D44" s="30"/>
      <c r="E44" s="30"/>
      <c r="F44" s="30"/>
      <c r="G44" s="30"/>
      <c r="H44" s="30"/>
      <c r="I44" s="30"/>
      <c r="J44" s="30"/>
      <c r="K44" s="30"/>
      <c r="L44" s="30"/>
      <c r="M44" s="30"/>
    </row>
    <row r="45" spans="2:13" x14ac:dyDescent="0.35">
      <c r="B45" s="30"/>
      <c r="C45" s="30"/>
      <c r="D45" s="30"/>
      <c r="E45" s="30"/>
      <c r="F45" s="30"/>
      <c r="G45" s="30"/>
      <c r="H45" s="30"/>
      <c r="I45" s="30"/>
      <c r="J45" s="30"/>
      <c r="K45" s="30"/>
      <c r="L45" s="30"/>
      <c r="M45" s="30"/>
    </row>
    <row r="46" spans="2:13" x14ac:dyDescent="0.35">
      <c r="B46" s="30"/>
      <c r="C46" s="30"/>
      <c r="D46" s="30"/>
      <c r="E46" s="30"/>
      <c r="F46" s="30"/>
      <c r="G46" s="30"/>
      <c r="H46" s="30"/>
      <c r="I46" s="30"/>
      <c r="J46" s="30"/>
      <c r="K46" s="30"/>
      <c r="L46" s="30"/>
      <c r="M46" s="30"/>
    </row>
    <row r="47" spans="2:13" x14ac:dyDescent="0.35">
      <c r="B47" s="30"/>
      <c r="C47" s="30"/>
      <c r="D47" s="30"/>
      <c r="E47" s="30"/>
      <c r="F47" s="30"/>
      <c r="G47" s="30"/>
      <c r="H47" s="30"/>
      <c r="I47" s="30"/>
      <c r="J47" s="30"/>
      <c r="K47" s="30"/>
      <c r="L47" s="30"/>
      <c r="M47" s="30"/>
    </row>
    <row r="48" spans="2:13" x14ac:dyDescent="0.35">
      <c r="B48" s="30"/>
      <c r="C48" s="30"/>
      <c r="D48" s="30"/>
      <c r="E48" s="30"/>
      <c r="F48" s="30"/>
      <c r="G48" s="30"/>
      <c r="H48" s="30"/>
      <c r="I48" s="30"/>
      <c r="J48" s="30"/>
      <c r="K48" s="30"/>
      <c r="L48" s="30"/>
      <c r="M48" s="30"/>
    </row>
    <row r="49" spans="2:13" x14ac:dyDescent="0.35">
      <c r="B49" s="30"/>
      <c r="C49" s="30"/>
      <c r="D49" s="30"/>
      <c r="E49" s="30"/>
      <c r="F49" s="30"/>
      <c r="G49" s="30"/>
      <c r="H49" s="30"/>
      <c r="I49" s="30"/>
      <c r="J49" s="30"/>
      <c r="K49" s="30"/>
      <c r="L49" s="30"/>
      <c r="M49" s="30"/>
    </row>
    <row r="50" spans="2:13" x14ac:dyDescent="0.35">
      <c r="B50" s="30"/>
      <c r="C50" s="30"/>
      <c r="D50" s="30"/>
      <c r="E50" s="30"/>
      <c r="F50" s="30"/>
      <c r="G50" s="30"/>
      <c r="H50" s="30"/>
      <c r="I50" s="30"/>
      <c r="J50" s="30"/>
      <c r="K50" s="30"/>
      <c r="L50" s="30"/>
      <c r="M50" s="30"/>
    </row>
    <row r="51" spans="2:13" x14ac:dyDescent="0.35">
      <c r="B51" s="30"/>
      <c r="C51" s="30"/>
      <c r="D51" s="30"/>
      <c r="E51" s="30"/>
      <c r="F51" s="30"/>
      <c r="G51" s="30"/>
      <c r="H51" s="30"/>
      <c r="I51" s="30"/>
      <c r="J51" s="30"/>
      <c r="K51" s="30"/>
      <c r="L51" s="30"/>
      <c r="M51" s="30"/>
    </row>
    <row r="52" spans="2:13" x14ac:dyDescent="0.35">
      <c r="B52" s="30"/>
      <c r="C52" s="30"/>
      <c r="D52" s="30"/>
      <c r="E52" s="30"/>
      <c r="F52" s="30"/>
      <c r="G52" s="30"/>
      <c r="H52" s="30"/>
      <c r="I52" s="30"/>
      <c r="J52" s="30"/>
      <c r="K52" s="30"/>
      <c r="L52" s="30"/>
      <c r="M52" s="30"/>
    </row>
    <row r="53" spans="2:13" x14ac:dyDescent="0.35">
      <c r="B53" s="30"/>
      <c r="C53" s="30"/>
      <c r="D53" s="30"/>
      <c r="E53" s="30"/>
      <c r="F53" s="30"/>
      <c r="G53" s="30"/>
      <c r="H53" s="30"/>
      <c r="I53" s="30"/>
      <c r="J53" s="30"/>
      <c r="K53" s="30"/>
      <c r="L53" s="30"/>
      <c r="M53" s="30"/>
    </row>
    <row r="54" spans="2:13" x14ac:dyDescent="0.35">
      <c r="B54" s="30"/>
      <c r="C54" s="30"/>
      <c r="D54" s="30"/>
      <c r="E54" s="30"/>
      <c r="F54" s="30"/>
      <c r="G54" s="30"/>
      <c r="H54" s="30"/>
      <c r="I54" s="30"/>
      <c r="J54" s="30"/>
      <c r="K54" s="30"/>
      <c r="L54" s="30"/>
      <c r="M54" s="30"/>
    </row>
    <row r="55" spans="2:13" x14ac:dyDescent="0.35">
      <c r="B55" s="30"/>
      <c r="C55" s="30"/>
      <c r="D55" s="30"/>
      <c r="E55" s="30"/>
      <c r="F55" s="30"/>
      <c r="G55" s="30"/>
      <c r="H55" s="30"/>
      <c r="I55" s="30"/>
      <c r="J55" s="30"/>
      <c r="K55" s="30"/>
      <c r="L55" s="30"/>
      <c r="M55" s="30"/>
    </row>
    <row r="56" spans="2:13" x14ac:dyDescent="0.35">
      <c r="B56" s="30"/>
      <c r="C56" s="30"/>
      <c r="D56" s="30"/>
      <c r="E56" s="30"/>
      <c r="F56" s="30"/>
      <c r="G56" s="30"/>
      <c r="H56" s="30"/>
      <c r="I56" s="30"/>
      <c r="J56" s="30"/>
      <c r="K56" s="30"/>
      <c r="L56" s="30"/>
      <c r="M56" s="30"/>
    </row>
    <row r="57" spans="2:13" x14ac:dyDescent="0.35">
      <c r="B57" s="30"/>
      <c r="C57" s="30"/>
      <c r="D57" s="30"/>
      <c r="E57" s="30"/>
      <c r="F57" s="30"/>
      <c r="G57" s="30"/>
      <c r="H57" s="30"/>
      <c r="I57" s="30"/>
      <c r="J57" s="30"/>
      <c r="K57" s="30"/>
      <c r="L57" s="30"/>
      <c r="M57" s="30"/>
    </row>
    <row r="58" spans="2:13" x14ac:dyDescent="0.35">
      <c r="B58" s="30"/>
      <c r="C58" s="30"/>
      <c r="D58" s="30"/>
      <c r="E58" s="30"/>
      <c r="F58" s="30"/>
      <c r="G58" s="30"/>
      <c r="H58" s="30"/>
      <c r="I58" s="30"/>
      <c r="J58" s="30"/>
      <c r="K58" s="30"/>
      <c r="L58" s="30"/>
      <c r="M58" s="30"/>
    </row>
    <row r="59" spans="2:13" x14ac:dyDescent="0.35">
      <c r="B59" s="30"/>
      <c r="C59" s="30"/>
      <c r="D59" s="30"/>
      <c r="E59" s="30"/>
      <c r="F59" s="30"/>
      <c r="G59" s="30"/>
      <c r="H59" s="30"/>
      <c r="I59" s="30"/>
      <c r="J59" s="30"/>
      <c r="K59" s="30"/>
      <c r="L59" s="30"/>
      <c r="M59" s="30"/>
    </row>
    <row r="60" spans="2:13" x14ac:dyDescent="0.35">
      <c r="B60" s="30"/>
      <c r="C60" s="30"/>
      <c r="D60" s="30"/>
      <c r="E60" s="30"/>
      <c r="F60" s="30"/>
      <c r="G60" s="30"/>
      <c r="H60" s="30"/>
      <c r="I60" s="30"/>
      <c r="J60" s="30"/>
      <c r="K60" s="30"/>
      <c r="L60" s="30"/>
      <c r="M60" s="30"/>
    </row>
    <row r="61" spans="2:13" x14ac:dyDescent="0.35">
      <c r="B61" s="30"/>
      <c r="C61" s="30"/>
      <c r="D61" s="30"/>
      <c r="E61" s="30"/>
      <c r="F61" s="30"/>
      <c r="G61" s="30"/>
      <c r="H61" s="30"/>
      <c r="I61" s="30"/>
      <c r="J61" s="30"/>
      <c r="K61" s="30"/>
      <c r="L61" s="30"/>
      <c r="M61" s="30"/>
    </row>
    <row r="62" spans="2:13" x14ac:dyDescent="0.35">
      <c r="B62" s="30"/>
      <c r="C62" s="30"/>
      <c r="D62" s="30"/>
      <c r="E62" s="30"/>
      <c r="F62" s="30"/>
      <c r="G62" s="30"/>
      <c r="H62" s="30"/>
      <c r="I62" s="30"/>
      <c r="J62" s="30"/>
      <c r="K62" s="30"/>
      <c r="L62" s="30"/>
      <c r="M62" s="30"/>
    </row>
    <row r="63" spans="2:13" x14ac:dyDescent="0.35">
      <c r="B63" s="30"/>
      <c r="C63" s="30"/>
      <c r="D63" s="30"/>
      <c r="E63" s="30"/>
      <c r="F63" s="30"/>
      <c r="G63" s="30"/>
      <c r="H63" s="30"/>
      <c r="I63" s="30"/>
      <c r="J63" s="30"/>
      <c r="K63" s="30"/>
      <c r="L63" s="30"/>
      <c r="M63" s="30"/>
    </row>
    <row r="64" spans="2:13" x14ac:dyDescent="0.35">
      <c r="B64" s="30"/>
      <c r="C64" s="30"/>
      <c r="D64" s="30"/>
      <c r="E64" s="30"/>
      <c r="F64" s="30"/>
      <c r="G64" s="30"/>
      <c r="H64" s="30"/>
      <c r="I64" s="30"/>
      <c r="J64" s="30"/>
      <c r="K64" s="30"/>
      <c r="L64" s="30"/>
      <c r="M64" s="30"/>
    </row>
    <row r="65" spans="2:13" x14ac:dyDescent="0.35">
      <c r="B65" s="30"/>
      <c r="C65" s="30"/>
      <c r="D65" s="30"/>
      <c r="E65" s="30"/>
      <c r="F65" s="30"/>
      <c r="G65" s="30"/>
      <c r="H65" s="30"/>
      <c r="I65" s="30"/>
      <c r="J65" s="30"/>
      <c r="K65" s="30"/>
      <c r="L65" s="30"/>
      <c r="M65" s="30"/>
    </row>
    <row r="66" spans="2:13" x14ac:dyDescent="0.35">
      <c r="B66" s="30"/>
      <c r="C66" s="30"/>
      <c r="D66" s="30"/>
      <c r="E66" s="30"/>
      <c r="F66" s="30"/>
      <c r="G66" s="30"/>
      <c r="H66" s="30"/>
      <c r="I66" s="30"/>
      <c r="J66" s="30"/>
      <c r="K66" s="30"/>
      <c r="L66" s="30"/>
      <c r="M66" s="30"/>
    </row>
    <row r="67" spans="2:13" x14ac:dyDescent="0.35">
      <c r="B67" s="30"/>
      <c r="C67" s="30"/>
      <c r="D67" s="30"/>
      <c r="E67" s="30"/>
      <c r="F67" s="30"/>
      <c r="G67" s="30"/>
      <c r="H67" s="30"/>
      <c r="I67" s="30"/>
      <c r="J67" s="30"/>
      <c r="K67" s="30"/>
      <c r="L67" s="30"/>
      <c r="M67" s="30"/>
    </row>
    <row r="68" spans="2:13" x14ac:dyDescent="0.35">
      <c r="B68" s="30"/>
      <c r="C68" s="30"/>
      <c r="D68" s="30"/>
      <c r="E68" s="30"/>
      <c r="F68" s="30"/>
      <c r="G68" s="30"/>
      <c r="H68" s="30"/>
      <c r="I68" s="30"/>
      <c r="J68" s="30"/>
      <c r="K68" s="30"/>
      <c r="L68" s="30"/>
      <c r="M68" s="30"/>
    </row>
    <row r="69" spans="2:13" x14ac:dyDescent="0.35">
      <c r="B69" s="30"/>
      <c r="C69" s="30"/>
      <c r="D69" s="30"/>
      <c r="E69" s="30"/>
      <c r="F69" s="30"/>
      <c r="G69" s="30"/>
      <c r="H69" s="30"/>
      <c r="I69" s="30"/>
      <c r="J69" s="30"/>
      <c r="K69" s="30"/>
      <c r="L69" s="30"/>
      <c r="M69" s="30"/>
    </row>
    <row r="70" spans="2:13" x14ac:dyDescent="0.35">
      <c r="B70" s="30"/>
      <c r="C70" s="30"/>
      <c r="D70" s="30"/>
      <c r="E70" s="30"/>
      <c r="F70" s="30"/>
      <c r="G70" s="30"/>
      <c r="H70" s="30"/>
      <c r="I70" s="30"/>
      <c r="J70" s="30"/>
      <c r="K70" s="30"/>
      <c r="L70" s="30"/>
      <c r="M70" s="30"/>
    </row>
    <row r="71" spans="2:13" x14ac:dyDescent="0.35">
      <c r="B71" s="30"/>
      <c r="C71" s="30"/>
      <c r="D71" s="30"/>
      <c r="E71" s="30"/>
      <c r="F71" s="30"/>
      <c r="G71" s="30"/>
      <c r="H71" s="30"/>
      <c r="I71" s="30"/>
      <c r="J71" s="30"/>
      <c r="K71" s="30"/>
      <c r="L71" s="30"/>
      <c r="M71" s="30"/>
    </row>
    <row r="72" spans="2:13" x14ac:dyDescent="0.35">
      <c r="B72" s="30"/>
      <c r="C72" s="30"/>
      <c r="D72" s="30"/>
      <c r="E72" s="30"/>
      <c r="F72" s="30"/>
      <c r="G72" s="30"/>
      <c r="H72" s="30"/>
      <c r="I72" s="30"/>
      <c r="J72" s="30"/>
      <c r="K72" s="30"/>
      <c r="L72" s="30"/>
      <c r="M72" s="30"/>
    </row>
    <row r="73" spans="2:13" x14ac:dyDescent="0.35">
      <c r="B73" s="30"/>
      <c r="C73" s="30"/>
      <c r="D73" s="30"/>
      <c r="E73" s="30"/>
      <c r="F73" s="30"/>
      <c r="G73" s="30"/>
      <c r="H73" s="30"/>
      <c r="I73" s="30"/>
      <c r="J73" s="30"/>
      <c r="K73" s="30"/>
      <c r="L73" s="30"/>
      <c r="M73" s="30"/>
    </row>
    <row r="74" spans="2:13" x14ac:dyDescent="0.35">
      <c r="B74" s="30"/>
      <c r="C74" s="30"/>
      <c r="D74" s="30"/>
      <c r="E74" s="30"/>
      <c r="F74" s="30"/>
      <c r="G74" s="30"/>
      <c r="H74" s="30"/>
      <c r="I74" s="30"/>
      <c r="J74" s="30"/>
      <c r="K74" s="30"/>
      <c r="L74" s="30"/>
      <c r="M74" s="30"/>
    </row>
    <row r="75" spans="2:13" x14ac:dyDescent="0.35">
      <c r="B75" s="30"/>
      <c r="C75" s="30"/>
      <c r="D75" s="30"/>
      <c r="E75" s="30"/>
      <c r="F75" s="30"/>
      <c r="G75" s="30"/>
      <c r="H75" s="30"/>
      <c r="I75" s="30"/>
      <c r="J75" s="30"/>
      <c r="K75" s="30"/>
      <c r="L75" s="30"/>
      <c r="M75" s="30"/>
    </row>
    <row r="76" spans="2:13" x14ac:dyDescent="0.35">
      <c r="B76" s="30"/>
      <c r="C76" s="30"/>
      <c r="D76" s="30"/>
      <c r="E76" s="30"/>
      <c r="F76" s="30"/>
      <c r="G76" s="30"/>
      <c r="H76" s="30"/>
      <c r="I76" s="30"/>
      <c r="J76" s="30"/>
      <c r="K76" s="30"/>
      <c r="L76" s="30"/>
      <c r="M76" s="30"/>
    </row>
    <row r="77" spans="2:13" x14ac:dyDescent="0.35">
      <c r="B77" s="30"/>
      <c r="C77" s="30"/>
      <c r="D77" s="30"/>
      <c r="E77" s="30"/>
      <c r="F77" s="30"/>
      <c r="G77" s="30"/>
      <c r="H77" s="30"/>
      <c r="I77" s="30"/>
      <c r="J77" s="30"/>
      <c r="K77" s="30"/>
      <c r="L77" s="30"/>
      <c r="M77" s="30"/>
    </row>
    <row r="78" spans="2:13" x14ac:dyDescent="0.35">
      <c r="B78" s="30"/>
      <c r="C78" s="30"/>
      <c r="D78" s="30"/>
      <c r="E78" s="30"/>
      <c r="F78" s="30"/>
      <c r="G78" s="30"/>
      <c r="H78" s="30"/>
      <c r="I78" s="30"/>
      <c r="J78" s="30"/>
      <c r="K78" s="30"/>
      <c r="L78" s="30"/>
      <c r="M78" s="30"/>
    </row>
    <row r="79" spans="2:13" x14ac:dyDescent="0.35">
      <c r="B79" s="30"/>
      <c r="C79" s="30"/>
      <c r="D79" s="30"/>
      <c r="E79" s="30"/>
      <c r="F79" s="30"/>
      <c r="G79" s="30"/>
      <c r="H79" s="30"/>
      <c r="I79" s="30"/>
      <c r="J79" s="30"/>
      <c r="K79" s="30"/>
      <c r="L79" s="30"/>
      <c r="M79" s="30"/>
    </row>
    <row r="80" spans="2:13" x14ac:dyDescent="0.35">
      <c r="B80" s="30"/>
      <c r="C80" s="30"/>
      <c r="D80" s="30"/>
      <c r="E80" s="30"/>
      <c r="F80" s="30"/>
      <c r="G80" s="30"/>
      <c r="H80" s="30"/>
      <c r="I80" s="30"/>
      <c r="J80" s="30"/>
      <c r="K80" s="30"/>
      <c r="L80" s="30"/>
      <c r="M80" s="30"/>
    </row>
    <row r="81" spans="2:13" x14ac:dyDescent="0.35">
      <c r="B81" s="30"/>
      <c r="C81" s="30"/>
      <c r="D81" s="30"/>
      <c r="E81" s="30"/>
      <c r="F81" s="30"/>
      <c r="G81" s="30"/>
      <c r="H81" s="30"/>
      <c r="I81" s="30"/>
      <c r="J81" s="30"/>
      <c r="K81" s="30"/>
      <c r="L81" s="30"/>
      <c r="M81" s="30"/>
    </row>
    <row r="82" spans="2:13" x14ac:dyDescent="0.35">
      <c r="B82" s="30"/>
      <c r="C82" s="30"/>
      <c r="D82" s="30"/>
      <c r="E82" s="30"/>
      <c r="F82" s="30"/>
      <c r="G82" s="30"/>
      <c r="H82" s="30"/>
      <c r="I82" s="30"/>
      <c r="J82" s="30"/>
      <c r="K82" s="30"/>
      <c r="L82" s="30"/>
      <c r="M82" s="30"/>
    </row>
    <row r="83" spans="2:13" x14ac:dyDescent="0.35">
      <c r="B83" s="30"/>
      <c r="C83" s="30"/>
      <c r="D83" s="30"/>
      <c r="E83" s="30"/>
      <c r="F83" s="30"/>
      <c r="G83" s="30"/>
      <c r="H83" s="30"/>
      <c r="I83" s="30"/>
      <c r="J83" s="30"/>
      <c r="K83" s="30"/>
      <c r="L83" s="30"/>
      <c r="M83" s="30"/>
    </row>
    <row r="84" spans="2:13" x14ac:dyDescent="0.35">
      <c r="B84" s="30"/>
      <c r="C84" s="30"/>
      <c r="D84" s="30"/>
      <c r="E84" s="30"/>
      <c r="F84" s="30"/>
      <c r="G84" s="30"/>
      <c r="H84" s="30"/>
      <c r="I84" s="30"/>
      <c r="J84" s="30"/>
      <c r="K84" s="30"/>
      <c r="L84" s="30"/>
      <c r="M84" s="30"/>
    </row>
    <row r="85" spans="2:13" x14ac:dyDescent="0.35">
      <c r="B85" s="30"/>
      <c r="C85" s="30"/>
      <c r="D85" s="30"/>
      <c r="E85" s="30"/>
      <c r="F85" s="30"/>
      <c r="G85" s="30"/>
      <c r="H85" s="30"/>
      <c r="I85" s="30"/>
      <c r="J85" s="30"/>
      <c r="K85" s="30"/>
      <c r="L85" s="30"/>
      <c r="M85" s="30"/>
    </row>
    <row r="86" spans="2:13" x14ac:dyDescent="0.35">
      <c r="B86" s="30"/>
      <c r="C86" s="30"/>
      <c r="D86" s="30"/>
      <c r="E86" s="30"/>
      <c r="F86" s="30"/>
      <c r="G86" s="30"/>
      <c r="H86" s="30"/>
      <c r="I86" s="30"/>
      <c r="J86" s="30"/>
      <c r="K86" s="30"/>
      <c r="L86" s="30"/>
      <c r="M86" s="30"/>
    </row>
    <row r="87" spans="2:13" x14ac:dyDescent="0.35">
      <c r="B87" s="30"/>
      <c r="C87" s="30"/>
      <c r="D87" s="30"/>
      <c r="E87" s="30"/>
      <c r="F87" s="30"/>
      <c r="G87" s="30"/>
      <c r="H87" s="30"/>
      <c r="I87" s="30"/>
      <c r="J87" s="30"/>
      <c r="K87" s="30"/>
      <c r="L87" s="30"/>
      <c r="M87" s="30"/>
    </row>
    <row r="88" spans="2:13" x14ac:dyDescent="0.35">
      <c r="B88" s="30"/>
      <c r="C88" s="30"/>
      <c r="D88" s="30"/>
      <c r="E88" s="30"/>
      <c r="F88" s="30"/>
      <c r="G88" s="30"/>
      <c r="H88" s="30"/>
      <c r="I88" s="30"/>
      <c r="J88" s="30"/>
      <c r="K88" s="30"/>
      <c r="L88" s="30"/>
      <c r="M88" s="30"/>
    </row>
    <row r="89" spans="2:13" x14ac:dyDescent="0.35">
      <c r="B89" s="30"/>
      <c r="C89" s="30"/>
      <c r="D89" s="30"/>
      <c r="E89" s="30"/>
      <c r="F89" s="30"/>
      <c r="G89" s="30"/>
      <c r="H89" s="30"/>
      <c r="I89" s="30"/>
      <c r="J89" s="30"/>
      <c r="K89" s="30"/>
      <c r="L89" s="30"/>
      <c r="M89" s="30"/>
    </row>
    <row r="90" spans="2:13" x14ac:dyDescent="0.35">
      <c r="B90" s="30"/>
      <c r="C90" s="30"/>
      <c r="D90" s="30"/>
      <c r="E90" s="30"/>
      <c r="F90" s="30"/>
      <c r="G90" s="30"/>
      <c r="H90" s="30"/>
      <c r="I90" s="30"/>
      <c r="J90" s="30"/>
      <c r="K90" s="30"/>
      <c r="L90" s="30"/>
      <c r="M90" s="30"/>
    </row>
    <row r="91" spans="2:13" x14ac:dyDescent="0.35">
      <c r="B91" s="30"/>
      <c r="C91" s="30"/>
      <c r="D91" s="30"/>
      <c r="E91" s="30"/>
      <c r="F91" s="30"/>
      <c r="G91" s="30"/>
      <c r="H91" s="30"/>
      <c r="I91" s="30"/>
      <c r="J91" s="30"/>
      <c r="K91" s="30"/>
      <c r="L91" s="30"/>
      <c r="M91" s="30"/>
    </row>
    <row r="92" spans="2:13" x14ac:dyDescent="0.35">
      <c r="B92" s="30"/>
      <c r="C92" s="30"/>
      <c r="D92" s="30"/>
      <c r="E92" s="30"/>
      <c r="F92" s="30"/>
      <c r="G92" s="30"/>
      <c r="H92" s="30"/>
      <c r="I92" s="30"/>
      <c r="J92" s="30"/>
      <c r="K92" s="30"/>
      <c r="L92" s="30"/>
      <c r="M92" s="30"/>
    </row>
    <row r="93" spans="2:13" x14ac:dyDescent="0.35">
      <c r="B93" s="30"/>
      <c r="C93" s="30"/>
      <c r="D93" s="30"/>
      <c r="E93" s="30"/>
      <c r="F93" s="30"/>
      <c r="G93" s="30"/>
      <c r="H93" s="30"/>
      <c r="I93" s="30"/>
      <c r="J93" s="30"/>
      <c r="K93" s="30"/>
      <c r="L93" s="30"/>
      <c r="M93" s="30"/>
    </row>
    <row r="94" spans="2:13" x14ac:dyDescent="0.35">
      <c r="B94" s="30"/>
      <c r="C94" s="30"/>
      <c r="D94" s="30"/>
      <c r="E94" s="30"/>
      <c r="F94" s="30"/>
      <c r="G94" s="30"/>
      <c r="H94" s="30"/>
      <c r="I94" s="30"/>
      <c r="J94" s="30"/>
      <c r="K94" s="30"/>
      <c r="L94" s="30"/>
      <c r="M94" s="30"/>
    </row>
    <row r="95" spans="2:13" x14ac:dyDescent="0.35">
      <c r="B95" s="30"/>
      <c r="C95" s="30"/>
      <c r="D95" s="30"/>
      <c r="E95" s="30"/>
      <c r="F95" s="30"/>
      <c r="G95" s="30"/>
      <c r="H95" s="30"/>
      <c r="I95" s="30"/>
      <c r="J95" s="30"/>
      <c r="K95" s="30"/>
      <c r="L95" s="30"/>
      <c r="M95" s="30"/>
    </row>
    <row r="96" spans="2:13" x14ac:dyDescent="0.35">
      <c r="B96" s="30"/>
      <c r="C96" s="30"/>
      <c r="D96" s="30"/>
      <c r="E96" s="30"/>
      <c r="F96" s="30"/>
      <c r="G96" s="30"/>
      <c r="H96" s="30"/>
      <c r="I96" s="30"/>
      <c r="J96" s="30"/>
      <c r="K96" s="30"/>
      <c r="L96" s="30"/>
      <c r="M96" s="30"/>
    </row>
  </sheetData>
  <sheetProtection sheet="1" objects="1" scenarios="1" selectLockedCells="1" selectUnlockedCells="1"/>
  <mergeCells count="7">
    <mergeCell ref="B10:M10"/>
    <mergeCell ref="B11:M11"/>
    <mergeCell ref="B3:AE4"/>
    <mergeCell ref="B6:M6"/>
    <mergeCell ref="B7:M7"/>
    <mergeCell ref="B8:M8"/>
    <mergeCell ref="B9:M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65A51-6F7F-4977-B368-0D7E9F879CB1}">
  <sheetPr codeName="Sheet12"/>
  <dimension ref="A3:S133"/>
  <sheetViews>
    <sheetView showRowColHeaders="0" topLeftCell="A70" zoomScaleNormal="100" workbookViewId="0"/>
  </sheetViews>
  <sheetFormatPr defaultColWidth="9.1796875" defaultRowHeight="14.5" x14ac:dyDescent="0.35"/>
  <cols>
    <col min="1" max="2" width="9.1796875" style="135"/>
    <col min="3" max="3" width="10.81640625" style="135" customWidth="1"/>
    <col min="4" max="12" width="9.1796875" style="135"/>
    <col min="13" max="13" width="11.1796875" style="135" customWidth="1"/>
    <col min="14" max="14" width="2" style="135" customWidth="1"/>
    <col min="15" max="16384" width="9.1796875" style="135"/>
  </cols>
  <sheetData>
    <row r="3" spans="1:14" ht="12.75" customHeight="1" x14ac:dyDescent="0.35">
      <c r="B3" s="234" t="s">
        <v>12</v>
      </c>
      <c r="C3" s="235"/>
      <c r="D3" s="235"/>
      <c r="E3" s="235"/>
      <c r="F3" s="235"/>
      <c r="G3" s="235"/>
      <c r="H3" s="235"/>
      <c r="I3" s="235"/>
      <c r="J3" s="235"/>
      <c r="K3" s="235"/>
      <c r="L3" s="235"/>
      <c r="M3" s="235"/>
      <c r="N3" s="236"/>
    </row>
    <row r="4" spans="1:14" ht="9.75" customHeight="1" x14ac:dyDescent="0.35">
      <c r="B4" s="234"/>
      <c r="C4" s="235"/>
      <c r="D4" s="235"/>
      <c r="E4" s="235"/>
      <c r="F4" s="235"/>
      <c r="G4" s="235"/>
      <c r="H4" s="235"/>
      <c r="I4" s="235"/>
      <c r="J4" s="235"/>
      <c r="K4" s="235"/>
      <c r="L4" s="235"/>
      <c r="M4" s="235"/>
      <c r="N4" s="236"/>
    </row>
    <row r="5" spans="1:14" ht="15.75" customHeight="1" thickBot="1" x14ac:dyDescent="0.4">
      <c r="B5" s="234"/>
      <c r="C5" s="235"/>
      <c r="D5" s="235"/>
      <c r="E5" s="235"/>
      <c r="F5" s="235"/>
      <c r="G5" s="235"/>
      <c r="H5" s="235"/>
      <c r="I5" s="235"/>
      <c r="J5" s="235"/>
      <c r="K5" s="235"/>
      <c r="L5" s="235"/>
      <c r="M5" s="235"/>
      <c r="N5" s="236"/>
    </row>
    <row r="6" spans="1:14" ht="15" thickTop="1" x14ac:dyDescent="0.35">
      <c r="B6" s="209"/>
      <c r="C6" s="210"/>
      <c r="D6" s="210"/>
      <c r="E6" s="210"/>
      <c r="F6" s="210"/>
      <c r="G6" s="210"/>
      <c r="H6" s="210"/>
      <c r="I6" s="210"/>
      <c r="J6" s="210"/>
      <c r="K6" s="210"/>
      <c r="L6" s="210"/>
      <c r="M6" s="210"/>
      <c r="N6" s="211"/>
    </row>
    <row r="7" spans="1:14" x14ac:dyDescent="0.35">
      <c r="A7" s="136"/>
      <c r="B7" s="246" t="s">
        <v>13</v>
      </c>
      <c r="C7" s="247"/>
      <c r="D7" s="247"/>
      <c r="E7" s="247"/>
      <c r="F7" s="247"/>
      <c r="G7" s="247"/>
      <c r="H7" s="247"/>
      <c r="I7" s="247"/>
      <c r="J7" s="247"/>
      <c r="K7" s="247"/>
      <c r="L7" s="247"/>
      <c r="M7" s="247"/>
      <c r="N7" s="120"/>
    </row>
    <row r="8" spans="1:14" x14ac:dyDescent="0.35">
      <c r="B8" s="212"/>
      <c r="C8" s="213"/>
      <c r="D8" s="213"/>
      <c r="E8" s="213"/>
      <c r="F8" s="213"/>
      <c r="G8" s="213"/>
      <c r="H8" s="213"/>
      <c r="I8" s="213"/>
      <c r="J8" s="213"/>
      <c r="K8" s="213"/>
      <c r="L8" s="213"/>
      <c r="M8" s="213"/>
      <c r="N8" s="120"/>
    </row>
    <row r="9" spans="1:14" x14ac:dyDescent="0.35">
      <c r="B9" s="212"/>
      <c r="C9" s="213"/>
      <c r="D9" s="213"/>
      <c r="E9" s="213"/>
      <c r="F9" s="213"/>
      <c r="G9" s="213"/>
      <c r="H9" s="213"/>
      <c r="I9" s="213"/>
      <c r="J9" s="213"/>
      <c r="K9" s="213"/>
      <c r="L9" s="213"/>
      <c r="M9" s="213"/>
      <c r="N9" s="120"/>
    </row>
    <row r="10" spans="1:14" x14ac:dyDescent="0.35">
      <c r="B10" s="212"/>
      <c r="C10" s="213"/>
      <c r="D10" s="213"/>
      <c r="E10" s="213"/>
      <c r="F10" s="213"/>
      <c r="G10" s="213"/>
      <c r="H10" s="213"/>
      <c r="I10" s="213"/>
      <c r="J10" s="213"/>
      <c r="K10" s="213"/>
      <c r="L10" s="213"/>
      <c r="M10" s="213"/>
      <c r="N10" s="120"/>
    </row>
    <row r="11" spans="1:14" x14ac:dyDescent="0.35">
      <c r="B11" s="212"/>
      <c r="C11" s="213"/>
      <c r="D11" s="213"/>
      <c r="E11" s="213"/>
      <c r="F11" s="213"/>
      <c r="G11" s="213"/>
      <c r="H11" s="213"/>
      <c r="I11" s="213"/>
      <c r="J11" s="213"/>
      <c r="K11" s="213"/>
      <c r="L11" s="213"/>
      <c r="M11" s="213"/>
      <c r="N11" s="120"/>
    </row>
    <row r="12" spans="1:14" x14ac:dyDescent="0.35">
      <c r="B12" s="212"/>
      <c r="C12" s="213"/>
      <c r="D12" s="213"/>
      <c r="E12" s="213"/>
      <c r="F12" s="213"/>
      <c r="G12" s="213"/>
      <c r="H12" s="213"/>
      <c r="I12" s="213"/>
      <c r="J12" s="213"/>
      <c r="K12" s="213"/>
      <c r="L12" s="213"/>
      <c r="M12" s="213"/>
      <c r="N12" s="120"/>
    </row>
    <row r="13" spans="1:14" x14ac:dyDescent="0.35">
      <c r="B13" s="212"/>
      <c r="C13" s="213"/>
      <c r="D13" s="213"/>
      <c r="E13" s="213"/>
      <c r="F13" s="213"/>
      <c r="G13" s="213"/>
      <c r="H13" s="213"/>
      <c r="I13" s="213"/>
      <c r="J13" s="213"/>
      <c r="K13" s="213"/>
      <c r="L13" s="213"/>
      <c r="M13" s="213"/>
      <c r="N13" s="120"/>
    </row>
    <row r="14" spans="1:14" x14ac:dyDescent="0.35">
      <c r="B14" s="212"/>
      <c r="C14" s="213"/>
      <c r="D14" s="213"/>
      <c r="E14" s="213"/>
      <c r="F14" s="213"/>
      <c r="G14" s="213"/>
      <c r="H14" s="213"/>
      <c r="I14" s="213"/>
      <c r="J14" s="213"/>
      <c r="K14" s="213"/>
      <c r="L14" s="213"/>
      <c r="M14" s="213"/>
      <c r="N14" s="120"/>
    </row>
    <row r="15" spans="1:14" x14ac:dyDescent="0.35">
      <c r="B15" s="212"/>
      <c r="C15" s="213"/>
      <c r="D15" s="213"/>
      <c r="E15" s="213"/>
      <c r="F15" s="213"/>
      <c r="G15" s="213"/>
      <c r="H15" s="213"/>
      <c r="I15" s="213"/>
      <c r="J15" s="213"/>
      <c r="K15" s="213"/>
      <c r="L15" s="213"/>
      <c r="M15" s="213"/>
      <c r="N15" s="120"/>
    </row>
    <row r="16" spans="1:14" x14ac:dyDescent="0.35">
      <c r="B16" s="212"/>
      <c r="C16" s="213"/>
      <c r="D16" s="213"/>
      <c r="E16" s="213"/>
      <c r="F16" s="213"/>
      <c r="G16" s="213"/>
      <c r="H16" s="213"/>
      <c r="I16" s="213"/>
      <c r="J16" s="213"/>
      <c r="K16" s="213"/>
      <c r="L16" s="213"/>
      <c r="M16" s="213"/>
      <c r="N16" s="120"/>
    </row>
    <row r="17" spans="1:19" x14ac:dyDescent="0.35">
      <c r="B17" s="212"/>
      <c r="C17" s="213"/>
      <c r="D17" s="213"/>
      <c r="E17" s="213"/>
      <c r="F17" s="213"/>
      <c r="G17" s="213"/>
      <c r="H17" s="213"/>
      <c r="I17" s="213"/>
      <c r="J17" s="213"/>
      <c r="K17" s="213"/>
      <c r="L17" s="213"/>
      <c r="M17" s="213"/>
      <c r="N17" s="120"/>
    </row>
    <row r="18" spans="1:19" x14ac:dyDescent="0.35">
      <c r="B18" s="212"/>
      <c r="C18" s="213"/>
      <c r="D18" s="213"/>
      <c r="E18" s="213"/>
      <c r="F18" s="213"/>
      <c r="G18" s="213"/>
      <c r="H18" s="213"/>
      <c r="I18" s="213"/>
      <c r="J18" s="213"/>
      <c r="K18" s="213"/>
      <c r="L18" s="213"/>
      <c r="M18" s="213"/>
      <c r="N18" s="120"/>
    </row>
    <row r="19" spans="1:19" x14ac:dyDescent="0.35">
      <c r="B19" s="212"/>
      <c r="C19" s="213"/>
      <c r="D19" s="213"/>
      <c r="E19" s="213"/>
      <c r="F19" s="213"/>
      <c r="G19" s="213"/>
      <c r="H19" s="213"/>
      <c r="I19" s="213"/>
      <c r="J19" s="213"/>
      <c r="K19" s="213"/>
      <c r="L19" s="213"/>
      <c r="M19" s="213"/>
      <c r="N19" s="120"/>
    </row>
    <row r="20" spans="1:19" ht="18" x14ac:dyDescent="0.35">
      <c r="A20" s="136"/>
      <c r="B20" s="121" t="s">
        <v>14</v>
      </c>
      <c r="C20" s="213"/>
      <c r="D20" s="213"/>
      <c r="E20" s="213"/>
      <c r="F20" s="213"/>
      <c r="G20" s="213"/>
      <c r="H20" s="213"/>
      <c r="I20" s="213"/>
      <c r="J20" s="213"/>
      <c r="K20" s="213"/>
      <c r="L20" s="213"/>
      <c r="M20" s="213"/>
      <c r="N20" s="120"/>
    </row>
    <row r="21" spans="1:19" x14ac:dyDescent="0.35">
      <c r="B21" s="212"/>
      <c r="C21" s="213"/>
      <c r="D21" s="213"/>
      <c r="E21" s="213"/>
      <c r="F21" s="213"/>
      <c r="G21" s="213"/>
      <c r="H21" s="213"/>
      <c r="I21" s="213"/>
      <c r="J21" s="213"/>
      <c r="K21" s="213"/>
      <c r="L21" s="213"/>
      <c r="M21" s="213"/>
      <c r="N21" s="120"/>
    </row>
    <row r="22" spans="1:19" x14ac:dyDescent="0.35">
      <c r="B22" s="212"/>
      <c r="C22" s="126" t="s">
        <v>15</v>
      </c>
      <c r="D22" s="213"/>
      <c r="E22" s="213"/>
      <c r="F22" s="213"/>
      <c r="G22" s="213"/>
      <c r="H22" s="213"/>
      <c r="I22" s="213"/>
      <c r="J22" s="213"/>
      <c r="K22" s="213"/>
      <c r="L22" s="213"/>
      <c r="M22" s="213"/>
      <c r="N22" s="120"/>
    </row>
    <row r="23" spans="1:19" x14ac:dyDescent="0.35">
      <c r="B23" s="212"/>
      <c r="C23" s="214"/>
      <c r="D23" s="215" t="s">
        <v>16</v>
      </c>
      <c r="E23" s="213"/>
      <c r="F23" s="213"/>
      <c r="G23" s="213"/>
      <c r="H23" s="213"/>
      <c r="I23" s="213"/>
      <c r="J23" s="213"/>
      <c r="K23" s="213"/>
      <c r="L23" s="213"/>
      <c r="M23" s="213"/>
      <c r="N23" s="120"/>
    </row>
    <row r="24" spans="1:19" x14ac:dyDescent="0.35">
      <c r="B24" s="212"/>
      <c r="C24" s="216"/>
      <c r="D24" s="215" t="s">
        <v>17</v>
      </c>
      <c r="E24" s="213"/>
      <c r="F24" s="213"/>
      <c r="G24" s="213"/>
      <c r="H24" s="213"/>
      <c r="I24" s="213"/>
      <c r="J24" s="213"/>
      <c r="K24" s="213"/>
      <c r="L24" s="213"/>
      <c r="M24" s="213"/>
      <c r="N24" s="120"/>
    </row>
    <row r="25" spans="1:19" ht="16.5" x14ac:dyDescent="0.45">
      <c r="B25" s="212"/>
      <c r="C25" s="217"/>
      <c r="D25" s="215" t="s">
        <v>18</v>
      </c>
      <c r="E25" s="213"/>
      <c r="F25" s="213"/>
      <c r="G25" s="213"/>
      <c r="H25" s="213"/>
      <c r="I25" s="213"/>
      <c r="J25" s="213"/>
      <c r="K25" s="213"/>
      <c r="L25" s="213"/>
      <c r="M25" s="213"/>
      <c r="N25" s="120"/>
      <c r="S25" s="218"/>
    </row>
    <row r="26" spans="1:19" ht="16.5" x14ac:dyDescent="0.45">
      <c r="B26" s="212"/>
      <c r="C26" s="213"/>
      <c r="D26" s="213"/>
      <c r="E26" s="213"/>
      <c r="F26" s="213"/>
      <c r="G26" s="213"/>
      <c r="H26" s="213"/>
      <c r="I26" s="213"/>
      <c r="J26" s="213"/>
      <c r="K26" s="213"/>
      <c r="L26" s="213"/>
      <c r="M26" s="213"/>
      <c r="N26" s="120"/>
      <c r="S26" s="219"/>
    </row>
    <row r="27" spans="1:19" ht="16.5" x14ac:dyDescent="0.45">
      <c r="A27" s="136"/>
      <c r="B27" s="246" t="s">
        <v>19</v>
      </c>
      <c r="C27" s="247"/>
      <c r="D27" s="247"/>
      <c r="E27" s="247"/>
      <c r="F27" s="247"/>
      <c r="G27" s="247"/>
      <c r="H27" s="247"/>
      <c r="I27" s="247"/>
      <c r="J27" s="247"/>
      <c r="K27" s="247"/>
      <c r="L27" s="247"/>
      <c r="M27" s="247"/>
      <c r="N27" s="120"/>
      <c r="S27" s="218"/>
    </row>
    <row r="28" spans="1:19" ht="9.75" customHeight="1" x14ac:dyDescent="0.45">
      <c r="B28" s="212"/>
      <c r="C28" s="213"/>
      <c r="D28" s="213"/>
      <c r="E28" s="213"/>
      <c r="F28" s="213"/>
      <c r="G28" s="213"/>
      <c r="H28" s="213"/>
      <c r="I28" s="213"/>
      <c r="J28" s="213"/>
      <c r="K28" s="213"/>
      <c r="L28" s="213"/>
      <c r="M28" s="213"/>
      <c r="N28" s="120"/>
      <c r="S28" s="218"/>
    </row>
    <row r="29" spans="1:19" x14ac:dyDescent="0.35">
      <c r="B29" s="212"/>
      <c r="C29" s="213"/>
      <c r="D29" s="213"/>
      <c r="E29" s="213"/>
      <c r="F29" s="213"/>
      <c r="G29" s="213"/>
      <c r="H29" s="213"/>
      <c r="I29" s="213"/>
      <c r="J29" s="213"/>
      <c r="K29" s="213"/>
      <c r="L29" s="213"/>
      <c r="M29" s="213"/>
      <c r="N29" s="120"/>
    </row>
    <row r="30" spans="1:19" x14ac:dyDescent="0.35">
      <c r="B30" s="212"/>
      <c r="C30" s="213"/>
      <c r="D30" s="213"/>
      <c r="E30" s="213"/>
      <c r="F30" s="213"/>
      <c r="G30" s="213"/>
      <c r="H30" s="213"/>
      <c r="I30" s="213"/>
      <c r="J30" s="213"/>
      <c r="K30" s="213"/>
      <c r="L30" s="213"/>
      <c r="M30" s="213"/>
      <c r="N30" s="120"/>
    </row>
    <row r="31" spans="1:19" x14ac:dyDescent="0.35">
      <c r="B31" s="212"/>
      <c r="C31" s="213"/>
      <c r="D31" s="213"/>
      <c r="E31" s="213"/>
      <c r="F31" s="213"/>
      <c r="G31" s="213"/>
      <c r="H31" s="213"/>
      <c r="I31" s="213"/>
      <c r="J31" s="213"/>
      <c r="K31" s="213"/>
      <c r="L31" s="213"/>
      <c r="M31" s="213"/>
      <c r="N31" s="120"/>
    </row>
    <row r="32" spans="1:19" x14ac:dyDescent="0.35">
      <c r="B32" s="212"/>
      <c r="C32" s="213"/>
      <c r="D32" s="213"/>
      <c r="E32" s="213"/>
      <c r="F32" s="213"/>
      <c r="G32" s="213"/>
      <c r="H32" s="213"/>
      <c r="I32" s="213"/>
      <c r="J32" s="213"/>
      <c r="K32" s="213"/>
      <c r="L32" s="213"/>
      <c r="M32" s="213"/>
      <c r="N32" s="120"/>
    </row>
    <row r="33" spans="1:14" x14ac:dyDescent="0.35">
      <c r="B33" s="212"/>
      <c r="C33" s="213"/>
      <c r="D33" s="213"/>
      <c r="E33" s="213"/>
      <c r="F33" s="213"/>
      <c r="G33" s="213"/>
      <c r="H33" s="213"/>
      <c r="I33" s="213"/>
      <c r="J33" s="213"/>
      <c r="K33" s="213"/>
      <c r="L33" s="213"/>
      <c r="M33" s="213"/>
      <c r="N33" s="120"/>
    </row>
    <row r="34" spans="1:14" x14ac:dyDescent="0.35">
      <c r="B34" s="212"/>
      <c r="C34" s="213"/>
      <c r="D34" s="213"/>
      <c r="E34" s="213"/>
      <c r="F34" s="213"/>
      <c r="G34" s="213"/>
      <c r="H34" s="213"/>
      <c r="I34" s="213"/>
      <c r="J34" s="213"/>
      <c r="K34" s="213"/>
      <c r="L34" s="213"/>
      <c r="M34" s="213"/>
      <c r="N34" s="120"/>
    </row>
    <row r="35" spans="1:14" x14ac:dyDescent="0.35">
      <c r="B35" s="212"/>
      <c r="C35" s="213"/>
      <c r="D35" s="213"/>
      <c r="E35" s="213"/>
      <c r="F35" s="213"/>
      <c r="G35" s="213"/>
      <c r="H35" s="213"/>
      <c r="I35" s="213"/>
      <c r="J35" s="213"/>
      <c r="K35" s="213"/>
      <c r="L35" s="213"/>
      <c r="M35" s="213"/>
      <c r="N35" s="120"/>
    </row>
    <row r="36" spans="1:14" ht="42.75" customHeight="1" x14ac:dyDescent="0.35">
      <c r="B36" s="212"/>
      <c r="C36" s="213"/>
      <c r="D36" s="213"/>
      <c r="E36" s="213"/>
      <c r="F36" s="213"/>
      <c r="G36" s="213"/>
      <c r="H36" s="213"/>
      <c r="I36" s="213"/>
      <c r="J36" s="213"/>
      <c r="K36" s="213"/>
      <c r="L36" s="213"/>
      <c r="M36" s="213"/>
      <c r="N36" s="120"/>
    </row>
    <row r="37" spans="1:14" ht="31.5" customHeight="1" x14ac:dyDescent="0.35">
      <c r="A37" s="136"/>
      <c r="B37" s="248" t="s">
        <v>20</v>
      </c>
      <c r="C37" s="248"/>
      <c r="D37" s="248"/>
      <c r="E37" s="248"/>
      <c r="F37" s="248"/>
      <c r="G37" s="248"/>
      <c r="H37" s="248"/>
      <c r="I37" s="248"/>
      <c r="J37" s="248"/>
      <c r="K37" s="248"/>
      <c r="L37" s="248"/>
      <c r="M37" s="248"/>
      <c r="N37" s="120"/>
    </row>
    <row r="38" spans="1:14" x14ac:dyDescent="0.35">
      <c r="B38" s="212"/>
      <c r="C38" s="213"/>
      <c r="D38" s="213"/>
      <c r="E38" s="213"/>
      <c r="F38" s="213"/>
      <c r="G38" s="213"/>
      <c r="H38" s="213"/>
      <c r="I38" s="213"/>
      <c r="J38" s="213"/>
      <c r="K38" s="213"/>
      <c r="L38" s="213"/>
      <c r="M38" s="213"/>
      <c r="N38" s="120"/>
    </row>
    <row r="39" spans="1:14" x14ac:dyDescent="0.35">
      <c r="B39" s="124" t="s">
        <v>21</v>
      </c>
      <c r="C39" s="220"/>
      <c r="D39" s="220"/>
      <c r="E39" s="220"/>
      <c r="F39" s="220"/>
      <c r="G39" s="220"/>
      <c r="H39" s="220"/>
      <c r="I39" s="220"/>
      <c r="J39" s="220"/>
      <c r="K39" s="220"/>
      <c r="L39" s="220"/>
      <c r="M39" s="220"/>
      <c r="N39" s="120"/>
    </row>
    <row r="40" spans="1:14" ht="72" customHeight="1" x14ac:dyDescent="0.35">
      <c r="A40" s="136"/>
      <c r="B40" s="248" t="s">
        <v>22</v>
      </c>
      <c r="C40" s="248"/>
      <c r="D40" s="248"/>
      <c r="E40" s="248"/>
      <c r="F40" s="248"/>
      <c r="G40" s="248"/>
      <c r="H40" s="248"/>
      <c r="I40" s="248"/>
      <c r="J40" s="248"/>
      <c r="K40" s="248"/>
      <c r="L40" s="248"/>
      <c r="M40" s="248"/>
      <c r="N40" s="120"/>
    </row>
    <row r="41" spans="1:14" ht="12.75" customHeight="1" x14ac:dyDescent="0.35">
      <c r="A41" s="136"/>
      <c r="B41" s="220"/>
      <c r="C41" s="220"/>
      <c r="D41" s="220"/>
      <c r="E41" s="220"/>
      <c r="F41" s="220"/>
      <c r="G41" s="220"/>
      <c r="H41" s="220"/>
      <c r="I41" s="220"/>
      <c r="J41" s="220"/>
      <c r="K41" s="220"/>
      <c r="L41" s="220"/>
      <c r="M41" s="220"/>
      <c r="N41" s="120"/>
    </row>
    <row r="42" spans="1:14" ht="18" x14ac:dyDescent="0.35">
      <c r="A42" s="136"/>
      <c r="B42" s="125" t="s">
        <v>23</v>
      </c>
      <c r="C42" s="220"/>
      <c r="D42" s="220"/>
      <c r="E42" s="220"/>
      <c r="F42" s="220"/>
      <c r="G42" s="220"/>
      <c r="H42" s="220"/>
      <c r="I42" s="220"/>
      <c r="J42" s="220"/>
      <c r="K42" s="220"/>
      <c r="L42" s="220"/>
      <c r="M42" s="220"/>
      <c r="N42" s="120"/>
    </row>
    <row r="43" spans="1:14" x14ac:dyDescent="0.35">
      <c r="A43" s="136"/>
      <c r="B43" s="220"/>
      <c r="C43" s="220"/>
      <c r="D43" s="220"/>
      <c r="E43" s="220"/>
      <c r="F43" s="220"/>
      <c r="G43" s="220"/>
      <c r="H43" s="220"/>
      <c r="I43" s="220"/>
      <c r="J43" s="220"/>
      <c r="K43" s="220"/>
      <c r="L43" s="220"/>
      <c r="M43" s="220"/>
      <c r="N43" s="120"/>
    </row>
    <row r="44" spans="1:14" x14ac:dyDescent="0.35">
      <c r="A44" s="136"/>
      <c r="B44" s="244" t="s">
        <v>24</v>
      </c>
      <c r="C44" s="245"/>
      <c r="D44" s="245"/>
      <c r="E44" s="245"/>
      <c r="F44" s="245"/>
      <c r="G44" s="245"/>
      <c r="H44" s="245"/>
      <c r="I44" s="245"/>
      <c r="J44" s="245"/>
      <c r="K44" s="245"/>
      <c r="L44" s="245"/>
      <c r="M44" s="245"/>
      <c r="N44" s="120"/>
    </row>
    <row r="45" spans="1:14" ht="9" customHeight="1" x14ac:dyDescent="0.35">
      <c r="A45" s="136"/>
      <c r="B45" s="220"/>
      <c r="C45" s="220"/>
      <c r="D45" s="220"/>
      <c r="E45" s="220"/>
      <c r="F45" s="220"/>
      <c r="G45" s="220"/>
      <c r="H45" s="220"/>
      <c r="I45" s="220"/>
      <c r="J45" s="220"/>
      <c r="K45" s="220"/>
      <c r="L45" s="220"/>
      <c r="M45" s="220"/>
      <c r="N45" s="120"/>
    </row>
    <row r="46" spans="1:14" x14ac:dyDescent="0.35">
      <c r="A46" s="136"/>
      <c r="B46" s="251" t="s">
        <v>25</v>
      </c>
      <c r="C46" s="252"/>
      <c r="D46" s="252"/>
      <c r="E46" s="252"/>
      <c r="F46" s="252"/>
      <c r="G46" s="252"/>
      <c r="H46" s="252"/>
      <c r="I46" s="252"/>
      <c r="J46" s="252"/>
      <c r="K46" s="252"/>
      <c r="L46" s="252"/>
      <c r="M46" s="252"/>
      <c r="N46" s="120"/>
    </row>
    <row r="47" spans="1:14" ht="45" customHeight="1" x14ac:dyDescent="0.35">
      <c r="A47" s="136"/>
      <c r="B47" s="253" t="s">
        <v>26</v>
      </c>
      <c r="C47" s="253"/>
      <c r="D47" s="253"/>
      <c r="E47" s="253"/>
      <c r="F47" s="253"/>
      <c r="G47" s="253"/>
      <c r="H47" s="253"/>
      <c r="I47" s="253"/>
      <c r="J47" s="253"/>
      <c r="K47" s="253"/>
      <c r="L47" s="253"/>
      <c r="M47" s="253"/>
      <c r="N47" s="120"/>
    </row>
    <row r="48" spans="1:14" ht="43.5" customHeight="1" x14ac:dyDescent="0.35">
      <c r="A48" s="136"/>
      <c r="B48" s="253" t="s">
        <v>27</v>
      </c>
      <c r="C48" s="253"/>
      <c r="D48" s="253"/>
      <c r="E48" s="253"/>
      <c r="F48" s="253"/>
      <c r="G48" s="253"/>
      <c r="H48" s="253"/>
      <c r="I48" s="253"/>
      <c r="J48" s="253"/>
      <c r="K48" s="253"/>
      <c r="L48" s="253"/>
      <c r="M48" s="253"/>
      <c r="N48" s="120"/>
    </row>
    <row r="49" spans="1:14" ht="15.75" customHeight="1" x14ac:dyDescent="0.35">
      <c r="A49" s="136"/>
      <c r="B49" s="253" t="s">
        <v>28</v>
      </c>
      <c r="C49" s="253"/>
      <c r="D49" s="253"/>
      <c r="E49" s="253"/>
      <c r="F49" s="253"/>
      <c r="G49" s="253"/>
      <c r="H49" s="253"/>
      <c r="I49" s="253"/>
      <c r="J49" s="253"/>
      <c r="K49" s="253"/>
      <c r="L49" s="253"/>
      <c r="M49" s="253"/>
      <c r="N49" s="120"/>
    </row>
    <row r="50" spans="1:14" ht="90" customHeight="1" x14ac:dyDescent="0.35">
      <c r="A50" s="136"/>
      <c r="B50" s="253" t="s">
        <v>29</v>
      </c>
      <c r="C50" s="253"/>
      <c r="D50" s="253"/>
      <c r="E50" s="253"/>
      <c r="F50" s="253"/>
      <c r="G50" s="253"/>
      <c r="H50" s="253"/>
      <c r="I50" s="253"/>
      <c r="J50" s="253"/>
      <c r="K50" s="253"/>
      <c r="L50" s="253"/>
      <c r="M50" s="253"/>
      <c r="N50" s="120"/>
    </row>
    <row r="51" spans="1:14" ht="33.75" customHeight="1" x14ac:dyDescent="0.35">
      <c r="B51" s="249" t="s">
        <v>30</v>
      </c>
      <c r="C51" s="250"/>
      <c r="D51" s="250"/>
      <c r="E51" s="250"/>
      <c r="F51" s="250"/>
      <c r="G51" s="250"/>
      <c r="H51" s="250"/>
      <c r="I51" s="250"/>
      <c r="J51" s="250"/>
      <c r="K51" s="250"/>
      <c r="L51" s="250"/>
      <c r="M51" s="250"/>
      <c r="N51" s="120"/>
    </row>
    <row r="52" spans="1:14" ht="46.5" customHeight="1" x14ac:dyDescent="0.35">
      <c r="B52" s="254" t="s">
        <v>31</v>
      </c>
      <c r="C52" s="255"/>
      <c r="D52" s="255"/>
      <c r="E52" s="255"/>
      <c r="F52" s="255"/>
      <c r="G52" s="255"/>
      <c r="H52" s="255"/>
      <c r="I52" s="255"/>
      <c r="J52" s="255"/>
      <c r="K52" s="255"/>
      <c r="L52" s="255"/>
      <c r="M52" s="255"/>
      <c r="N52" s="120"/>
    </row>
    <row r="53" spans="1:14" ht="61.5" customHeight="1" x14ac:dyDescent="0.35">
      <c r="B53" s="254" t="s">
        <v>32</v>
      </c>
      <c r="C53" s="255"/>
      <c r="D53" s="255"/>
      <c r="E53" s="255"/>
      <c r="F53" s="255"/>
      <c r="G53" s="255"/>
      <c r="H53" s="255"/>
      <c r="I53" s="255"/>
      <c r="J53" s="255"/>
      <c r="K53" s="255"/>
      <c r="L53" s="255"/>
      <c r="M53" s="255"/>
      <c r="N53" s="120"/>
    </row>
    <row r="54" spans="1:14" x14ac:dyDescent="0.35">
      <c r="B54" s="251" t="s">
        <v>33</v>
      </c>
      <c r="C54" s="252"/>
      <c r="D54" s="252"/>
      <c r="E54" s="252"/>
      <c r="F54" s="252"/>
      <c r="G54" s="252"/>
      <c r="H54" s="252"/>
      <c r="I54" s="252"/>
      <c r="J54" s="252"/>
      <c r="K54" s="252"/>
      <c r="L54" s="252"/>
      <c r="M54" s="252"/>
      <c r="N54" s="120"/>
    </row>
    <row r="55" spans="1:14" x14ac:dyDescent="0.35">
      <c r="B55" s="208"/>
      <c r="C55" s="220"/>
      <c r="D55" s="220"/>
      <c r="E55" s="220"/>
      <c r="F55" s="220"/>
      <c r="G55" s="220"/>
      <c r="H55" s="220"/>
      <c r="I55" s="220"/>
      <c r="J55" s="220"/>
      <c r="K55" s="220"/>
      <c r="L55" s="220"/>
      <c r="M55" s="220"/>
      <c r="N55" s="120"/>
    </row>
    <row r="56" spans="1:14" ht="33" customHeight="1" x14ac:dyDescent="0.35">
      <c r="B56" s="249" t="s">
        <v>34</v>
      </c>
      <c r="C56" s="250"/>
      <c r="D56" s="250"/>
      <c r="E56" s="250"/>
      <c r="F56" s="250"/>
      <c r="G56" s="250"/>
      <c r="H56" s="250"/>
      <c r="I56" s="250"/>
      <c r="J56" s="250"/>
      <c r="K56" s="250"/>
      <c r="L56" s="250"/>
      <c r="M56" s="250"/>
      <c r="N56" s="120"/>
    </row>
    <row r="57" spans="1:14" x14ac:dyDescent="0.35">
      <c r="B57" s="208" t="s">
        <v>35</v>
      </c>
      <c r="C57" s="220"/>
      <c r="D57" s="220"/>
      <c r="E57" s="220"/>
      <c r="F57" s="220"/>
      <c r="G57" s="220"/>
      <c r="H57" s="220"/>
      <c r="I57" s="220"/>
      <c r="J57" s="220"/>
      <c r="K57" s="220"/>
      <c r="L57" s="220"/>
      <c r="M57" s="220"/>
      <c r="N57" s="120"/>
    </row>
    <row r="58" spans="1:14" ht="47.25" customHeight="1" x14ac:dyDescent="0.35">
      <c r="B58" s="254" t="s">
        <v>36</v>
      </c>
      <c r="C58" s="255"/>
      <c r="D58" s="255"/>
      <c r="E58" s="255"/>
      <c r="F58" s="255"/>
      <c r="G58" s="255"/>
      <c r="H58" s="255"/>
      <c r="I58" s="255"/>
      <c r="J58" s="255"/>
      <c r="K58" s="255"/>
      <c r="L58" s="255"/>
      <c r="M58" s="255"/>
      <c r="N58" s="120"/>
    </row>
    <row r="59" spans="1:14" x14ac:dyDescent="0.35">
      <c r="B59" s="208" t="s">
        <v>37</v>
      </c>
      <c r="C59" s="220"/>
      <c r="D59" s="220"/>
      <c r="E59" s="220"/>
      <c r="F59" s="220"/>
      <c r="G59" s="220"/>
      <c r="H59" s="220"/>
      <c r="I59" s="220"/>
      <c r="J59" s="220"/>
      <c r="K59" s="220"/>
      <c r="L59" s="220"/>
      <c r="M59" s="220"/>
      <c r="N59" s="120"/>
    </row>
    <row r="60" spans="1:14" x14ac:dyDescent="0.35">
      <c r="B60" s="208"/>
      <c r="C60" s="220"/>
      <c r="D60" s="220"/>
      <c r="E60" s="220"/>
      <c r="F60" s="220"/>
      <c r="G60" s="220"/>
      <c r="H60" s="220"/>
      <c r="I60" s="220"/>
      <c r="J60" s="220"/>
      <c r="K60" s="220"/>
      <c r="L60" s="220"/>
      <c r="M60" s="220"/>
      <c r="N60" s="120"/>
    </row>
    <row r="61" spans="1:14" ht="33" customHeight="1" x14ac:dyDescent="0.35">
      <c r="B61" s="249" t="s">
        <v>38</v>
      </c>
      <c r="C61" s="250"/>
      <c r="D61" s="250"/>
      <c r="E61" s="250"/>
      <c r="F61" s="250"/>
      <c r="G61" s="250"/>
      <c r="H61" s="250"/>
      <c r="I61" s="250"/>
      <c r="J61" s="250"/>
      <c r="K61" s="250"/>
      <c r="L61" s="250"/>
      <c r="M61" s="250"/>
      <c r="N61" s="120"/>
    </row>
    <row r="62" spans="1:14" x14ac:dyDescent="0.35">
      <c r="B62" s="251" t="s">
        <v>39</v>
      </c>
      <c r="C62" s="252"/>
      <c r="D62" s="252"/>
      <c r="E62" s="252"/>
      <c r="F62" s="252"/>
      <c r="G62" s="252"/>
      <c r="H62" s="252"/>
      <c r="I62" s="252"/>
      <c r="J62" s="252"/>
      <c r="K62" s="252"/>
      <c r="L62" s="252"/>
      <c r="M62" s="252"/>
      <c r="N62" s="120"/>
    </row>
    <row r="63" spans="1:14" x14ac:dyDescent="0.35">
      <c r="B63" s="251" t="s">
        <v>40</v>
      </c>
      <c r="C63" s="252"/>
      <c r="D63" s="252"/>
      <c r="E63" s="252"/>
      <c r="F63" s="252"/>
      <c r="G63" s="252"/>
      <c r="H63" s="252"/>
      <c r="I63" s="252"/>
      <c r="J63" s="252"/>
      <c r="K63" s="252"/>
      <c r="L63" s="252"/>
      <c r="M63" s="252"/>
      <c r="N63" s="120"/>
    </row>
    <row r="64" spans="1:14" ht="32.25" customHeight="1" x14ac:dyDescent="0.35">
      <c r="B64" s="254" t="s">
        <v>41</v>
      </c>
      <c r="C64" s="255"/>
      <c r="D64" s="255"/>
      <c r="E64" s="255"/>
      <c r="F64" s="255"/>
      <c r="G64" s="255"/>
      <c r="H64" s="255"/>
      <c r="I64" s="255"/>
      <c r="J64" s="255"/>
      <c r="K64" s="255"/>
      <c r="L64" s="255"/>
      <c r="M64" s="255"/>
      <c r="N64" s="120"/>
    </row>
    <row r="65" spans="2:14" ht="16.5" customHeight="1" x14ac:dyDescent="0.35">
      <c r="B65" s="207"/>
      <c r="C65" s="221"/>
      <c r="D65" s="221"/>
      <c r="E65" s="221"/>
      <c r="F65" s="221"/>
      <c r="G65" s="221"/>
      <c r="H65" s="221"/>
      <c r="I65" s="221"/>
      <c r="J65" s="221"/>
      <c r="K65" s="221"/>
      <c r="L65" s="221"/>
      <c r="M65" s="221"/>
      <c r="N65" s="120"/>
    </row>
    <row r="66" spans="2:14" x14ac:dyDescent="0.35">
      <c r="B66" s="249" t="s">
        <v>42</v>
      </c>
      <c r="C66" s="250"/>
      <c r="D66" s="250"/>
      <c r="E66" s="250"/>
      <c r="F66" s="250"/>
      <c r="G66" s="250"/>
      <c r="H66" s="250"/>
      <c r="I66" s="250"/>
      <c r="J66" s="250"/>
      <c r="K66" s="250"/>
      <c r="L66" s="250"/>
      <c r="M66" s="250"/>
      <c r="N66" s="120"/>
    </row>
    <row r="67" spans="2:14" ht="32.25" customHeight="1" x14ac:dyDescent="0.35">
      <c r="B67" s="207"/>
      <c r="C67" s="221"/>
      <c r="D67" s="221"/>
      <c r="E67" s="221"/>
      <c r="F67" s="221"/>
      <c r="G67" s="221"/>
      <c r="H67" s="221"/>
      <c r="I67" s="221"/>
      <c r="J67" s="221"/>
      <c r="K67" s="221"/>
      <c r="L67" s="221"/>
      <c r="M67" s="221"/>
      <c r="N67" s="120"/>
    </row>
    <row r="68" spans="2:14" ht="32.25" customHeight="1" x14ac:dyDescent="0.35">
      <c r="B68" s="207"/>
      <c r="C68" s="221"/>
      <c r="D68" s="221"/>
      <c r="E68" s="221"/>
      <c r="F68" s="221"/>
      <c r="G68" s="221"/>
      <c r="H68" s="221"/>
      <c r="I68" s="221"/>
      <c r="J68" s="221"/>
      <c r="K68" s="221"/>
      <c r="L68" s="221"/>
      <c r="M68" s="221"/>
      <c r="N68" s="120"/>
    </row>
    <row r="69" spans="2:14" ht="32.25" customHeight="1" x14ac:dyDescent="0.35">
      <c r="B69" s="207"/>
      <c r="C69" s="221"/>
      <c r="D69" s="221"/>
      <c r="E69" s="221"/>
      <c r="F69" s="221"/>
      <c r="G69" s="221"/>
      <c r="H69" s="221"/>
      <c r="I69" s="221"/>
      <c r="J69" s="221"/>
      <c r="K69" s="221"/>
      <c r="L69" s="221"/>
      <c r="M69" s="221"/>
      <c r="N69" s="120"/>
    </row>
    <row r="70" spans="2:14" ht="32.25" customHeight="1" x14ac:dyDescent="0.35">
      <c r="B70" s="207"/>
      <c r="C70" s="221"/>
      <c r="D70" s="221"/>
      <c r="E70" s="221"/>
      <c r="F70" s="221"/>
      <c r="G70" s="221"/>
      <c r="H70" s="221"/>
      <c r="I70" s="221"/>
      <c r="J70" s="221"/>
      <c r="K70" s="221"/>
      <c r="L70" s="221"/>
      <c r="M70" s="221"/>
      <c r="N70" s="120"/>
    </row>
    <row r="71" spans="2:14" ht="32.25" customHeight="1" x14ac:dyDescent="0.35">
      <c r="B71" s="207"/>
      <c r="C71" s="221"/>
      <c r="D71" s="221"/>
      <c r="E71" s="221"/>
      <c r="F71" s="221"/>
      <c r="G71" s="221"/>
      <c r="H71" s="221"/>
      <c r="I71" s="221"/>
      <c r="J71" s="221"/>
      <c r="K71" s="221"/>
      <c r="L71" s="221"/>
      <c r="M71" s="221"/>
      <c r="N71" s="120"/>
    </row>
    <row r="72" spans="2:14" ht="18" x14ac:dyDescent="0.35">
      <c r="B72" s="256" t="s">
        <v>43</v>
      </c>
      <c r="C72" s="257"/>
      <c r="D72" s="257"/>
      <c r="E72" s="257"/>
      <c r="F72" s="257"/>
      <c r="G72" s="257"/>
      <c r="H72" s="257"/>
      <c r="I72" s="257"/>
      <c r="J72" s="257"/>
      <c r="K72" s="257"/>
      <c r="L72" s="257"/>
      <c r="M72" s="257"/>
      <c r="N72" s="120"/>
    </row>
    <row r="73" spans="2:14" x14ac:dyDescent="0.35">
      <c r="B73" s="208"/>
      <c r="C73" s="220"/>
      <c r="D73" s="220"/>
      <c r="E73" s="220"/>
      <c r="F73" s="220"/>
      <c r="G73" s="220"/>
      <c r="H73" s="220"/>
      <c r="I73" s="220"/>
      <c r="J73" s="220"/>
      <c r="K73" s="220"/>
      <c r="L73" s="220"/>
      <c r="M73" s="220"/>
      <c r="N73" s="120"/>
    </row>
    <row r="74" spans="2:14" x14ac:dyDescent="0.35">
      <c r="B74" s="249" t="s">
        <v>44</v>
      </c>
      <c r="C74" s="250"/>
      <c r="D74" s="250"/>
      <c r="E74" s="250"/>
      <c r="F74" s="250"/>
      <c r="G74" s="250"/>
      <c r="H74" s="250"/>
      <c r="I74" s="250"/>
      <c r="J74" s="250"/>
      <c r="K74" s="250"/>
      <c r="L74" s="250"/>
      <c r="M74" s="250"/>
      <c r="N74" s="258"/>
    </row>
    <row r="75" spans="2:14" x14ac:dyDescent="0.35">
      <c r="B75" s="208" t="s">
        <v>45</v>
      </c>
      <c r="C75" s="220"/>
      <c r="D75" s="259" t="s">
        <v>46</v>
      </c>
      <c r="E75" s="259"/>
      <c r="F75" s="259"/>
      <c r="G75" s="259"/>
      <c r="H75" s="259"/>
      <c r="I75" s="259"/>
      <c r="J75" s="220"/>
      <c r="K75" s="220"/>
      <c r="L75" s="220"/>
      <c r="M75" s="220"/>
      <c r="N75" s="120"/>
    </row>
    <row r="76" spans="2:14" ht="27.75" customHeight="1" x14ac:dyDescent="0.35">
      <c r="B76" s="254" t="s">
        <v>47</v>
      </c>
      <c r="C76" s="255"/>
      <c r="D76" s="255"/>
      <c r="E76" s="255"/>
      <c r="F76" s="255"/>
      <c r="G76" s="255"/>
      <c r="H76" s="255"/>
      <c r="I76" s="255"/>
      <c r="J76" s="255"/>
      <c r="K76" s="255"/>
      <c r="L76" s="255"/>
      <c r="M76" s="255"/>
      <c r="N76" s="120"/>
    </row>
    <row r="77" spans="2:14" ht="29.25" customHeight="1" x14ac:dyDescent="0.35">
      <c r="B77" s="254" t="s">
        <v>48</v>
      </c>
      <c r="C77" s="255"/>
      <c r="D77" s="255"/>
      <c r="E77" s="255"/>
      <c r="F77" s="255"/>
      <c r="G77" s="255"/>
      <c r="H77" s="255"/>
      <c r="I77" s="255"/>
      <c r="J77" s="255"/>
      <c r="K77" s="255"/>
      <c r="L77" s="255"/>
      <c r="M77" s="255"/>
      <c r="N77" s="120"/>
    </row>
    <row r="78" spans="2:14" x14ac:dyDescent="0.35">
      <c r="B78" s="208" t="s">
        <v>49</v>
      </c>
      <c r="C78" s="220"/>
      <c r="D78" s="220"/>
      <c r="E78" s="220"/>
      <c r="F78" s="220"/>
      <c r="G78" s="220"/>
      <c r="H78" s="220"/>
      <c r="I78" s="220"/>
      <c r="J78" s="220"/>
      <c r="K78" s="220"/>
      <c r="L78" s="220"/>
      <c r="M78" s="220"/>
      <c r="N78" s="120"/>
    </row>
    <row r="79" spans="2:14" x14ac:dyDescent="0.35">
      <c r="B79" s="208"/>
      <c r="C79" s="220"/>
      <c r="D79" s="220"/>
      <c r="E79" s="220"/>
      <c r="F79" s="220"/>
      <c r="G79" s="220"/>
      <c r="H79" s="220"/>
      <c r="I79" s="220"/>
      <c r="J79" s="220"/>
      <c r="K79" s="220"/>
      <c r="L79" s="220"/>
      <c r="M79" s="220"/>
      <c r="N79" s="120"/>
    </row>
    <row r="80" spans="2:14" x14ac:dyDescent="0.35">
      <c r="B80" s="249" t="s">
        <v>50</v>
      </c>
      <c r="C80" s="250"/>
      <c r="D80" s="250"/>
      <c r="E80" s="250"/>
      <c r="F80" s="250"/>
      <c r="G80" s="250"/>
      <c r="H80" s="250"/>
      <c r="I80" s="250"/>
      <c r="J80" s="250"/>
      <c r="K80" s="250"/>
      <c r="L80" s="250"/>
      <c r="M80" s="250"/>
      <c r="N80" s="258"/>
    </row>
    <row r="81" spans="2:14" x14ac:dyDescent="0.35">
      <c r="B81" s="208" t="s">
        <v>51</v>
      </c>
      <c r="C81" s="220"/>
      <c r="D81" s="260" t="s">
        <v>52</v>
      </c>
      <c r="E81" s="260"/>
      <c r="F81" s="260"/>
      <c r="G81" s="260"/>
      <c r="H81" s="260"/>
      <c r="I81" s="220"/>
      <c r="J81" s="220"/>
      <c r="K81" s="220"/>
      <c r="L81" s="220"/>
      <c r="M81" s="220"/>
      <c r="N81" s="120"/>
    </row>
    <row r="82" spans="2:14" ht="58.5" customHeight="1" x14ac:dyDescent="0.35">
      <c r="B82" s="254" t="s">
        <v>53</v>
      </c>
      <c r="C82" s="255"/>
      <c r="D82" s="255"/>
      <c r="E82" s="255"/>
      <c r="F82" s="255"/>
      <c r="G82" s="255"/>
      <c r="H82" s="255"/>
      <c r="I82" s="255"/>
      <c r="J82" s="255"/>
      <c r="K82" s="255"/>
      <c r="L82" s="255"/>
      <c r="M82" s="255"/>
      <c r="N82" s="120"/>
    </row>
    <row r="83" spans="2:14" x14ac:dyDescent="0.35">
      <c r="B83" s="208" t="s">
        <v>54</v>
      </c>
      <c r="C83" s="220"/>
      <c r="D83" s="220"/>
      <c r="E83" s="220"/>
      <c r="F83" s="220"/>
      <c r="G83" s="220"/>
      <c r="H83" s="220"/>
      <c r="I83" s="220"/>
      <c r="J83" s="220"/>
      <c r="K83" s="220"/>
      <c r="L83" s="220"/>
      <c r="M83" s="220"/>
      <c r="N83" s="120"/>
    </row>
    <row r="84" spans="2:14" x14ac:dyDescent="0.35">
      <c r="B84" s="208" t="s">
        <v>55</v>
      </c>
      <c r="C84" s="220"/>
      <c r="D84" s="220"/>
      <c r="E84" s="220"/>
      <c r="F84" s="220"/>
      <c r="G84" s="220"/>
      <c r="H84" s="220"/>
      <c r="I84" s="220"/>
      <c r="J84" s="220"/>
      <c r="K84" s="220"/>
      <c r="L84" s="220"/>
      <c r="M84" s="220"/>
      <c r="N84" s="120"/>
    </row>
    <row r="85" spans="2:14" x14ac:dyDescent="0.35">
      <c r="B85" s="208"/>
      <c r="C85" s="220"/>
      <c r="D85" s="220"/>
      <c r="E85" s="220"/>
      <c r="F85" s="220"/>
      <c r="G85" s="220"/>
      <c r="H85" s="220"/>
      <c r="I85" s="220"/>
      <c r="J85" s="220"/>
      <c r="K85" s="220"/>
      <c r="L85" s="220"/>
      <c r="M85" s="220"/>
      <c r="N85" s="120"/>
    </row>
    <row r="86" spans="2:14" ht="31.5" customHeight="1" x14ac:dyDescent="0.35">
      <c r="B86" s="249" t="s">
        <v>56</v>
      </c>
      <c r="C86" s="250"/>
      <c r="D86" s="250"/>
      <c r="E86" s="250"/>
      <c r="F86" s="250"/>
      <c r="G86" s="250"/>
      <c r="H86" s="250"/>
      <c r="I86" s="250"/>
      <c r="J86" s="250"/>
      <c r="K86" s="250"/>
      <c r="L86" s="250"/>
      <c r="M86" s="250"/>
      <c r="N86" s="120"/>
    </row>
    <row r="87" spans="2:14" x14ac:dyDescent="0.35">
      <c r="B87" s="208" t="s">
        <v>45</v>
      </c>
      <c r="C87" s="220"/>
      <c r="D87" s="261" t="s">
        <v>57</v>
      </c>
      <c r="E87" s="261"/>
      <c r="F87" s="261"/>
      <c r="G87" s="261"/>
      <c r="H87" s="261"/>
      <c r="I87" s="220"/>
      <c r="J87" s="220"/>
      <c r="K87" s="220"/>
      <c r="L87" s="220"/>
      <c r="M87" s="220"/>
      <c r="N87" s="120"/>
    </row>
    <row r="88" spans="2:14" x14ac:dyDescent="0.35">
      <c r="B88" s="208" t="s">
        <v>58</v>
      </c>
      <c r="C88" s="220"/>
      <c r="D88" s="220"/>
      <c r="E88" s="220"/>
      <c r="F88" s="220"/>
      <c r="G88" s="220"/>
      <c r="H88" s="220"/>
      <c r="I88" s="220"/>
      <c r="J88" s="220"/>
      <c r="K88" s="220"/>
      <c r="L88" s="220"/>
      <c r="M88" s="220"/>
      <c r="N88" s="120"/>
    </row>
    <row r="89" spans="2:14" ht="28.5" customHeight="1" x14ac:dyDescent="0.35">
      <c r="B89" s="254" t="s">
        <v>59</v>
      </c>
      <c r="C89" s="255"/>
      <c r="D89" s="255"/>
      <c r="E89" s="255"/>
      <c r="F89" s="255"/>
      <c r="G89" s="255"/>
      <c r="H89" s="255"/>
      <c r="I89" s="255"/>
      <c r="J89" s="255"/>
      <c r="K89" s="255"/>
      <c r="L89" s="255"/>
      <c r="M89" s="255"/>
      <c r="N89" s="120"/>
    </row>
    <row r="90" spans="2:14" ht="30" customHeight="1" x14ac:dyDescent="0.35">
      <c r="B90" s="254" t="s">
        <v>60</v>
      </c>
      <c r="C90" s="255"/>
      <c r="D90" s="255"/>
      <c r="E90" s="255"/>
      <c r="F90" s="255"/>
      <c r="G90" s="255"/>
      <c r="H90" s="255"/>
      <c r="I90" s="255"/>
      <c r="J90" s="255"/>
      <c r="K90" s="255"/>
      <c r="L90" s="255"/>
      <c r="M90" s="255"/>
      <c r="N90" s="120"/>
    </row>
    <row r="91" spans="2:14" ht="33.75" customHeight="1" x14ac:dyDescent="0.35">
      <c r="B91" s="254" t="s">
        <v>61</v>
      </c>
      <c r="C91" s="255"/>
      <c r="D91" s="255"/>
      <c r="E91" s="255"/>
      <c r="F91" s="255"/>
      <c r="G91" s="255"/>
      <c r="H91" s="255"/>
      <c r="I91" s="255"/>
      <c r="J91" s="255"/>
      <c r="K91" s="255"/>
      <c r="L91" s="255"/>
      <c r="M91" s="255"/>
      <c r="N91" s="120"/>
    </row>
    <row r="92" spans="2:14" x14ac:dyDescent="0.35">
      <c r="B92" s="208"/>
      <c r="C92" s="220"/>
      <c r="D92" s="220"/>
      <c r="E92" s="220"/>
      <c r="F92" s="220"/>
      <c r="G92" s="220"/>
      <c r="H92" s="220"/>
      <c r="I92" s="220"/>
      <c r="J92" s="220"/>
      <c r="K92" s="220"/>
      <c r="L92" s="220"/>
      <c r="M92" s="220"/>
      <c r="N92" s="120"/>
    </row>
    <row r="93" spans="2:14" x14ac:dyDescent="0.35">
      <c r="B93" s="249" t="s">
        <v>62</v>
      </c>
      <c r="C93" s="250"/>
      <c r="D93" s="250"/>
      <c r="E93" s="250"/>
      <c r="F93" s="250"/>
      <c r="G93" s="250"/>
      <c r="H93" s="250"/>
      <c r="I93" s="250"/>
      <c r="J93" s="250"/>
      <c r="K93" s="250"/>
      <c r="L93" s="250"/>
      <c r="M93" s="250"/>
      <c r="N93" s="258"/>
    </row>
    <row r="94" spans="2:14" x14ac:dyDescent="0.35">
      <c r="B94" s="208" t="s">
        <v>63</v>
      </c>
      <c r="C94" s="220"/>
      <c r="D94" s="259" t="s">
        <v>64</v>
      </c>
      <c r="E94" s="259"/>
      <c r="F94" s="259"/>
      <c r="G94" s="259"/>
      <c r="H94" s="259"/>
      <c r="I94" s="259"/>
      <c r="J94" s="259"/>
      <c r="K94" s="220"/>
      <c r="L94" s="220"/>
      <c r="M94" s="220"/>
      <c r="N94" s="120"/>
    </row>
    <row r="95" spans="2:14" x14ac:dyDescent="0.35">
      <c r="B95" s="251" t="s">
        <v>65</v>
      </c>
      <c r="C95" s="252"/>
      <c r="D95" s="252"/>
      <c r="E95" s="252"/>
      <c r="F95" s="252"/>
      <c r="G95" s="252"/>
      <c r="H95" s="252"/>
      <c r="I95" s="252"/>
      <c r="J95" s="252"/>
      <c r="K95" s="252"/>
      <c r="L95" s="252"/>
      <c r="M95" s="252"/>
      <c r="N95" s="120"/>
    </row>
    <row r="96" spans="2:14" ht="18.75" customHeight="1" x14ac:dyDescent="0.35">
      <c r="B96" s="254" t="s">
        <v>66</v>
      </c>
      <c r="C96" s="255"/>
      <c r="D96" s="255"/>
      <c r="E96" s="255"/>
      <c r="F96" s="255"/>
      <c r="G96" s="255"/>
      <c r="H96" s="255"/>
      <c r="I96" s="255"/>
      <c r="J96" s="255"/>
      <c r="K96" s="255"/>
      <c r="L96" s="255"/>
      <c r="M96" s="255"/>
      <c r="N96" s="120"/>
    </row>
    <row r="97" spans="2:14" x14ac:dyDescent="0.35">
      <c r="B97" s="251" t="s">
        <v>67</v>
      </c>
      <c r="C97" s="252"/>
      <c r="D97" s="252"/>
      <c r="E97" s="252"/>
      <c r="F97" s="252"/>
      <c r="G97" s="252"/>
      <c r="H97" s="252"/>
      <c r="I97" s="252"/>
      <c r="J97" s="252"/>
      <c r="K97" s="252"/>
      <c r="L97" s="252"/>
      <c r="M97" s="252"/>
      <c r="N97" s="120"/>
    </row>
    <row r="98" spans="2:14" ht="15" thickBot="1" x14ac:dyDescent="0.4">
      <c r="B98" s="122"/>
      <c r="C98" s="123"/>
      <c r="D98" s="123"/>
      <c r="E98" s="123"/>
      <c r="F98" s="123"/>
      <c r="G98" s="123"/>
      <c r="H98" s="123"/>
      <c r="I98" s="123"/>
      <c r="J98" s="123"/>
      <c r="K98" s="123"/>
      <c r="L98" s="123"/>
      <c r="M98" s="123"/>
      <c r="N98" s="120"/>
    </row>
    <row r="99" spans="2:14" ht="15" thickTop="1" x14ac:dyDescent="0.35">
      <c r="B99" s="137"/>
      <c r="C99" s="222"/>
      <c r="D99" s="222"/>
      <c r="E99" s="222"/>
      <c r="F99" s="222"/>
      <c r="G99" s="222"/>
      <c r="H99" s="222"/>
      <c r="I99" s="222"/>
      <c r="J99" s="222"/>
      <c r="K99" s="222"/>
      <c r="L99" s="222"/>
      <c r="M99" s="222"/>
      <c r="N99" s="223"/>
    </row>
    <row r="100" spans="2:14" x14ac:dyDescent="0.35">
      <c r="B100" s="222"/>
      <c r="C100" s="222"/>
      <c r="D100" s="222"/>
      <c r="E100" s="222"/>
      <c r="F100" s="222"/>
      <c r="G100" s="222"/>
      <c r="H100" s="222"/>
      <c r="I100" s="222"/>
      <c r="J100" s="222"/>
      <c r="K100" s="222"/>
      <c r="L100" s="222"/>
      <c r="M100" s="222"/>
    </row>
    <row r="101" spans="2:14" x14ac:dyDescent="0.35">
      <c r="B101" s="222"/>
      <c r="C101" s="222"/>
      <c r="D101" s="222"/>
      <c r="E101" s="222"/>
      <c r="F101" s="222"/>
      <c r="G101" s="222"/>
      <c r="H101" s="222"/>
      <c r="I101" s="222"/>
      <c r="J101" s="222"/>
      <c r="K101" s="222"/>
      <c r="L101" s="222"/>
      <c r="M101" s="222"/>
    </row>
    <row r="102" spans="2:14" x14ac:dyDescent="0.35">
      <c r="B102" s="222"/>
      <c r="C102" s="222"/>
      <c r="D102" s="222"/>
      <c r="E102" s="222"/>
      <c r="F102" s="222"/>
      <c r="G102" s="222"/>
      <c r="H102" s="222"/>
      <c r="I102" s="222"/>
      <c r="J102" s="222"/>
      <c r="K102" s="222"/>
      <c r="L102" s="222"/>
      <c r="M102" s="222"/>
    </row>
    <row r="103" spans="2:14" x14ac:dyDescent="0.35">
      <c r="B103" s="222"/>
      <c r="C103" s="222"/>
      <c r="D103" s="222"/>
      <c r="E103" s="222"/>
      <c r="F103" s="222"/>
      <c r="G103" s="222"/>
      <c r="H103" s="222"/>
      <c r="I103" s="222"/>
      <c r="J103" s="222"/>
      <c r="K103" s="222"/>
      <c r="L103" s="222"/>
      <c r="M103" s="222"/>
    </row>
    <row r="104" spans="2:14" x14ac:dyDescent="0.35">
      <c r="B104" s="222"/>
      <c r="C104" s="222"/>
      <c r="D104" s="222"/>
      <c r="E104" s="222"/>
      <c r="F104" s="222"/>
      <c r="G104" s="222"/>
      <c r="H104" s="222"/>
      <c r="I104" s="222"/>
      <c r="J104" s="222"/>
      <c r="K104" s="222"/>
      <c r="L104" s="222"/>
      <c r="M104" s="222"/>
    </row>
    <row r="105" spans="2:14" x14ac:dyDescent="0.35">
      <c r="B105" s="222"/>
      <c r="C105" s="222"/>
      <c r="D105" s="222"/>
      <c r="E105" s="222"/>
      <c r="F105" s="222"/>
      <c r="G105" s="222"/>
      <c r="H105" s="222"/>
      <c r="I105" s="222"/>
      <c r="J105" s="222"/>
      <c r="K105" s="222"/>
      <c r="L105" s="222"/>
      <c r="M105" s="222"/>
    </row>
    <row r="106" spans="2:14" x14ac:dyDescent="0.35">
      <c r="B106" s="222"/>
      <c r="C106" s="222"/>
      <c r="D106" s="222"/>
      <c r="E106" s="222"/>
      <c r="F106" s="222"/>
      <c r="G106" s="222"/>
      <c r="H106" s="222"/>
      <c r="I106" s="222"/>
      <c r="J106" s="222"/>
      <c r="K106" s="222"/>
      <c r="L106" s="222"/>
      <c r="M106" s="222"/>
    </row>
    <row r="107" spans="2:14" x14ac:dyDescent="0.35">
      <c r="B107" s="222"/>
      <c r="C107" s="222"/>
      <c r="D107" s="222"/>
      <c r="E107" s="222"/>
      <c r="F107" s="222"/>
      <c r="G107" s="222"/>
      <c r="H107" s="222"/>
      <c r="I107" s="222"/>
      <c r="J107" s="222"/>
      <c r="K107" s="222"/>
      <c r="L107" s="222"/>
      <c r="M107" s="222"/>
    </row>
    <row r="108" spans="2:14" x14ac:dyDescent="0.35">
      <c r="B108" s="222"/>
      <c r="C108" s="222"/>
      <c r="D108" s="222"/>
      <c r="E108" s="222"/>
      <c r="F108" s="222"/>
      <c r="G108" s="222"/>
      <c r="H108" s="222"/>
      <c r="I108" s="222"/>
      <c r="J108" s="222"/>
      <c r="K108" s="222"/>
      <c r="L108" s="222"/>
      <c r="M108" s="222"/>
    </row>
    <row r="109" spans="2:14" x14ac:dyDescent="0.35">
      <c r="B109" s="222"/>
      <c r="C109" s="222"/>
      <c r="D109" s="222"/>
      <c r="E109" s="222"/>
      <c r="F109" s="222"/>
      <c r="G109" s="222"/>
      <c r="H109" s="222"/>
      <c r="I109" s="222"/>
      <c r="J109" s="222"/>
      <c r="K109" s="222"/>
      <c r="L109" s="222"/>
      <c r="M109" s="222"/>
    </row>
    <row r="110" spans="2:14" x14ac:dyDescent="0.35">
      <c r="B110" s="222"/>
      <c r="C110" s="222"/>
      <c r="D110" s="222"/>
      <c r="E110" s="222"/>
      <c r="F110" s="222"/>
      <c r="G110" s="222"/>
      <c r="H110" s="222"/>
      <c r="I110" s="222"/>
      <c r="J110" s="222"/>
      <c r="K110" s="222"/>
      <c r="L110" s="222"/>
      <c r="M110" s="222"/>
    </row>
    <row r="111" spans="2:14" x14ac:dyDescent="0.35">
      <c r="B111" s="222"/>
      <c r="C111" s="222"/>
      <c r="D111" s="222"/>
      <c r="E111" s="222"/>
      <c r="F111" s="222"/>
      <c r="G111" s="222"/>
      <c r="H111" s="222"/>
      <c r="I111" s="222"/>
      <c r="J111" s="222"/>
      <c r="K111" s="222"/>
      <c r="L111" s="222"/>
      <c r="M111" s="222"/>
    </row>
    <row r="112" spans="2:14" x14ac:dyDescent="0.35">
      <c r="B112" s="222"/>
      <c r="C112" s="222"/>
      <c r="D112" s="222"/>
      <c r="E112" s="222"/>
      <c r="F112" s="222"/>
      <c r="G112" s="222"/>
      <c r="H112" s="222"/>
      <c r="I112" s="222"/>
      <c r="J112" s="222"/>
      <c r="K112" s="222"/>
      <c r="L112" s="222"/>
      <c r="M112" s="222"/>
    </row>
    <row r="113" spans="2:13" x14ac:dyDescent="0.35">
      <c r="B113" s="222"/>
      <c r="C113" s="222"/>
      <c r="D113" s="222"/>
      <c r="E113" s="222"/>
      <c r="F113" s="222"/>
      <c r="G113" s="222"/>
      <c r="H113" s="222"/>
      <c r="I113" s="222"/>
      <c r="J113" s="222"/>
      <c r="K113" s="222"/>
      <c r="L113" s="222"/>
      <c r="M113" s="222"/>
    </row>
    <row r="114" spans="2:13" x14ac:dyDescent="0.35">
      <c r="B114" s="222"/>
      <c r="C114" s="222"/>
      <c r="D114" s="222"/>
      <c r="E114" s="222"/>
      <c r="F114" s="222"/>
      <c r="G114" s="222"/>
      <c r="H114" s="222"/>
      <c r="I114" s="222"/>
      <c r="J114" s="222"/>
      <c r="K114" s="222"/>
      <c r="L114" s="222"/>
      <c r="M114" s="222"/>
    </row>
    <row r="115" spans="2:13" x14ac:dyDescent="0.35">
      <c r="B115" s="222"/>
      <c r="C115" s="222"/>
      <c r="D115" s="222"/>
      <c r="E115" s="222"/>
      <c r="F115" s="222"/>
      <c r="G115" s="222"/>
      <c r="H115" s="222"/>
      <c r="I115" s="222"/>
      <c r="J115" s="222"/>
      <c r="K115" s="222"/>
      <c r="L115" s="222"/>
      <c r="M115" s="222"/>
    </row>
    <row r="116" spans="2:13" x14ac:dyDescent="0.35">
      <c r="B116" s="222"/>
      <c r="C116" s="222"/>
      <c r="D116" s="222"/>
      <c r="E116" s="222"/>
      <c r="F116" s="222"/>
      <c r="G116" s="222"/>
      <c r="H116" s="222"/>
      <c r="I116" s="222"/>
      <c r="J116" s="222"/>
      <c r="K116" s="222"/>
      <c r="L116" s="222"/>
      <c r="M116" s="222"/>
    </row>
    <row r="117" spans="2:13" x14ac:dyDescent="0.35">
      <c r="B117" s="222"/>
      <c r="C117" s="222"/>
      <c r="D117" s="222"/>
      <c r="E117" s="222"/>
      <c r="F117" s="222"/>
      <c r="G117" s="222"/>
      <c r="H117" s="222"/>
      <c r="I117" s="222"/>
      <c r="J117" s="222"/>
      <c r="K117" s="222"/>
      <c r="L117" s="222"/>
      <c r="M117" s="222"/>
    </row>
    <row r="118" spans="2:13" x14ac:dyDescent="0.35">
      <c r="B118" s="222"/>
      <c r="C118" s="222"/>
      <c r="D118" s="222"/>
      <c r="E118" s="222"/>
      <c r="F118" s="222"/>
      <c r="G118" s="222"/>
      <c r="H118" s="222"/>
      <c r="I118" s="222"/>
      <c r="J118" s="222"/>
      <c r="K118" s="222"/>
      <c r="L118" s="222"/>
      <c r="M118" s="222"/>
    </row>
    <row r="119" spans="2:13" x14ac:dyDescent="0.35">
      <c r="B119" s="222"/>
      <c r="C119" s="222"/>
      <c r="D119" s="222"/>
      <c r="E119" s="222"/>
      <c r="F119" s="222"/>
      <c r="G119" s="222"/>
      <c r="H119" s="222"/>
      <c r="I119" s="222"/>
      <c r="J119" s="222"/>
      <c r="K119" s="222"/>
      <c r="L119" s="222"/>
      <c r="M119" s="222"/>
    </row>
    <row r="120" spans="2:13" x14ac:dyDescent="0.35">
      <c r="B120" s="222"/>
      <c r="C120" s="222"/>
      <c r="D120" s="222"/>
      <c r="E120" s="222"/>
      <c r="F120" s="222"/>
      <c r="G120" s="222"/>
      <c r="H120" s="222"/>
      <c r="I120" s="222"/>
      <c r="J120" s="222"/>
      <c r="K120" s="222"/>
      <c r="L120" s="222"/>
      <c r="M120" s="222"/>
    </row>
    <row r="121" spans="2:13" x14ac:dyDescent="0.35">
      <c r="B121" s="222"/>
      <c r="C121" s="222"/>
      <c r="D121" s="222"/>
      <c r="E121" s="222"/>
      <c r="F121" s="222"/>
      <c r="G121" s="222"/>
      <c r="H121" s="222"/>
      <c r="I121" s="222"/>
      <c r="J121" s="222"/>
      <c r="K121" s="222"/>
      <c r="L121" s="222"/>
      <c r="M121" s="222"/>
    </row>
    <row r="122" spans="2:13" x14ac:dyDescent="0.35">
      <c r="B122" s="222"/>
      <c r="C122" s="222"/>
      <c r="D122" s="222"/>
      <c r="E122" s="222"/>
      <c r="F122" s="222"/>
      <c r="G122" s="222"/>
      <c r="H122" s="222"/>
      <c r="I122" s="222"/>
      <c r="J122" s="222"/>
      <c r="K122" s="222"/>
      <c r="L122" s="222"/>
      <c r="M122" s="222"/>
    </row>
    <row r="123" spans="2:13" x14ac:dyDescent="0.35">
      <c r="B123" s="222"/>
      <c r="C123" s="222"/>
      <c r="D123" s="222"/>
      <c r="E123" s="222"/>
      <c r="F123" s="222"/>
      <c r="G123" s="222"/>
      <c r="H123" s="222"/>
      <c r="I123" s="222"/>
      <c r="J123" s="222"/>
      <c r="K123" s="222"/>
      <c r="L123" s="222"/>
      <c r="M123" s="222"/>
    </row>
    <row r="124" spans="2:13" x14ac:dyDescent="0.35">
      <c r="B124" s="222"/>
      <c r="C124" s="222"/>
      <c r="D124" s="222"/>
      <c r="E124" s="222"/>
      <c r="F124" s="222"/>
      <c r="G124" s="222"/>
      <c r="H124" s="222"/>
      <c r="I124" s="222"/>
      <c r="J124" s="222"/>
      <c r="K124" s="222"/>
      <c r="L124" s="222"/>
      <c r="M124" s="222"/>
    </row>
    <row r="125" spans="2:13" x14ac:dyDescent="0.35">
      <c r="B125" s="222"/>
      <c r="C125" s="222"/>
      <c r="D125" s="222"/>
      <c r="E125" s="222"/>
      <c r="F125" s="222"/>
      <c r="G125" s="222"/>
      <c r="H125" s="222"/>
      <c r="I125" s="222"/>
      <c r="J125" s="222"/>
      <c r="K125" s="222"/>
      <c r="L125" s="222"/>
      <c r="M125" s="222"/>
    </row>
    <row r="126" spans="2:13" x14ac:dyDescent="0.35">
      <c r="B126" s="222"/>
      <c r="C126" s="222"/>
      <c r="D126" s="222"/>
      <c r="E126" s="222"/>
      <c r="F126" s="222"/>
      <c r="G126" s="222"/>
      <c r="H126" s="222"/>
      <c r="I126" s="222"/>
      <c r="J126" s="222"/>
      <c r="K126" s="222"/>
      <c r="L126" s="222"/>
      <c r="M126" s="222"/>
    </row>
    <row r="127" spans="2:13" x14ac:dyDescent="0.35">
      <c r="B127" s="222"/>
      <c r="C127" s="222"/>
      <c r="D127" s="222"/>
      <c r="E127" s="222"/>
      <c r="F127" s="222"/>
      <c r="G127" s="222"/>
      <c r="H127" s="222"/>
      <c r="I127" s="222"/>
      <c r="J127" s="222"/>
      <c r="K127" s="222"/>
      <c r="L127" s="222"/>
      <c r="M127" s="222"/>
    </row>
    <row r="128" spans="2:13" x14ac:dyDescent="0.35">
      <c r="B128" s="222"/>
      <c r="C128" s="222"/>
      <c r="D128" s="222"/>
      <c r="E128" s="222"/>
      <c r="F128" s="222"/>
      <c r="G128" s="222"/>
      <c r="H128" s="222"/>
      <c r="I128" s="222"/>
      <c r="J128" s="222"/>
      <c r="K128" s="222"/>
      <c r="L128" s="222"/>
      <c r="M128" s="222"/>
    </row>
    <row r="129" spans="2:13" x14ac:dyDescent="0.35">
      <c r="B129" s="222"/>
      <c r="C129" s="222"/>
      <c r="D129" s="222"/>
      <c r="E129" s="222"/>
      <c r="F129" s="222"/>
      <c r="G129" s="222"/>
      <c r="H129" s="222"/>
      <c r="I129" s="222"/>
      <c r="J129" s="222"/>
      <c r="K129" s="222"/>
      <c r="L129" s="222"/>
      <c r="M129" s="222"/>
    </row>
    <row r="130" spans="2:13" x14ac:dyDescent="0.35">
      <c r="B130" s="222"/>
      <c r="C130" s="222"/>
      <c r="D130" s="222"/>
      <c r="E130" s="222"/>
      <c r="F130" s="222"/>
      <c r="G130" s="222"/>
      <c r="H130" s="222"/>
      <c r="I130" s="222"/>
      <c r="J130" s="222"/>
      <c r="K130" s="222"/>
      <c r="L130" s="222"/>
      <c r="M130" s="222"/>
    </row>
    <row r="131" spans="2:13" x14ac:dyDescent="0.35">
      <c r="B131" s="222"/>
      <c r="C131" s="222"/>
      <c r="D131" s="222"/>
      <c r="E131" s="222"/>
      <c r="F131" s="222"/>
      <c r="G131" s="222"/>
      <c r="H131" s="222"/>
      <c r="I131" s="222"/>
      <c r="J131" s="222"/>
      <c r="K131" s="222"/>
      <c r="L131" s="222"/>
      <c r="M131" s="222"/>
    </row>
    <row r="132" spans="2:13" x14ac:dyDescent="0.35">
      <c r="B132" s="222"/>
      <c r="C132" s="222"/>
      <c r="D132" s="222"/>
      <c r="E132" s="222"/>
      <c r="F132" s="222"/>
      <c r="G132" s="222"/>
      <c r="H132" s="222"/>
      <c r="I132" s="222"/>
      <c r="J132" s="222"/>
      <c r="K132" s="222"/>
      <c r="L132" s="222"/>
      <c r="M132" s="222"/>
    </row>
    <row r="133" spans="2:13" x14ac:dyDescent="0.35">
      <c r="B133" s="222"/>
      <c r="C133" s="222"/>
      <c r="D133" s="222"/>
      <c r="E133" s="222"/>
      <c r="F133" s="222"/>
      <c r="G133" s="222"/>
      <c r="H133" s="222"/>
      <c r="I133" s="222"/>
      <c r="J133" s="222"/>
      <c r="K133" s="222"/>
      <c r="L133" s="222"/>
      <c r="M133" s="222"/>
    </row>
  </sheetData>
  <sheetProtection algorithmName="SHA-512" hashValue="Uk1ffMCUS3SQfZdHNUKxa4UJBhrC4OCecllq5KtdfOSm+hc/MMy9tOBZyQUvlcZ5pmtI47WO1wX3p8ZO7Prl9A==" saltValue="h6ZOOkWmaKo/f3DJO387fA==" spinCount="100000" sheet="1" objects="1" scenarios="1" selectLockedCells="1" selectUnlockedCells="1"/>
  <mergeCells count="40">
    <mergeCell ref="D94:J94"/>
    <mergeCell ref="B95:M95"/>
    <mergeCell ref="B96:M96"/>
    <mergeCell ref="B97:M97"/>
    <mergeCell ref="B86:M86"/>
    <mergeCell ref="D87:H87"/>
    <mergeCell ref="B89:M89"/>
    <mergeCell ref="B90:M90"/>
    <mergeCell ref="B91:M91"/>
    <mergeCell ref="B93:N93"/>
    <mergeCell ref="B82:M82"/>
    <mergeCell ref="B62:M62"/>
    <mergeCell ref="B63:M63"/>
    <mergeCell ref="B64:M64"/>
    <mergeCell ref="B66:M66"/>
    <mergeCell ref="B72:M72"/>
    <mergeCell ref="B74:N74"/>
    <mergeCell ref="D75:I75"/>
    <mergeCell ref="B76:M76"/>
    <mergeCell ref="B77:M77"/>
    <mergeCell ref="B80:N80"/>
    <mergeCell ref="D81:H81"/>
    <mergeCell ref="B61:M61"/>
    <mergeCell ref="B46:M46"/>
    <mergeCell ref="B47:M47"/>
    <mergeCell ref="B48:M48"/>
    <mergeCell ref="B49:M49"/>
    <mergeCell ref="B50:M50"/>
    <mergeCell ref="B51:M51"/>
    <mergeCell ref="B52:M52"/>
    <mergeCell ref="B53:M53"/>
    <mergeCell ref="B54:M54"/>
    <mergeCell ref="B56:M56"/>
    <mergeCell ref="B58:M58"/>
    <mergeCell ref="B44:M44"/>
    <mergeCell ref="B3:N5"/>
    <mergeCell ref="B7:M7"/>
    <mergeCell ref="B27:M27"/>
    <mergeCell ref="B37:M37"/>
    <mergeCell ref="B40:M40"/>
  </mergeCells>
  <hyperlinks>
    <hyperlink ref="D75" r:id="rId1" xr:uid="{B26FF631-362D-408B-8C1D-31331EBB4FD9}"/>
    <hyperlink ref="D81" r:id="rId2" location="." xr:uid="{00A671DA-963B-48AD-B2A7-C526B501AE59}"/>
    <hyperlink ref="D94" r:id="rId3" xr:uid="{1AABE2ED-FD6C-4DC2-9585-D8B98CEB5175}"/>
    <hyperlink ref="D87" r:id="rId4" xr:uid="{EB43C21A-F602-4FFF-9BA6-299C2DF9DEC0}"/>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0F8E3-DC30-4251-8DB2-7803AADAE64F}">
  <sheetPr codeName="Sheet5"/>
  <dimension ref="B2:M12"/>
  <sheetViews>
    <sheetView showGridLines="0" showRowColHeaders="0" zoomScaleNormal="100" workbookViewId="0">
      <selection activeCell="D10" sqref="D10:K10"/>
    </sheetView>
  </sheetViews>
  <sheetFormatPr defaultColWidth="9.1796875" defaultRowHeight="14.5" x14ac:dyDescent="0.35"/>
  <cols>
    <col min="1" max="1" width="9.1796875" style="135"/>
    <col min="2" max="2" width="3.7265625" style="135" customWidth="1"/>
    <col min="3" max="3" width="30.54296875" style="135" customWidth="1"/>
    <col min="4" max="4" width="11.26953125" style="135" bestFit="1" customWidth="1"/>
    <col min="5" max="10" width="9.1796875" style="135"/>
    <col min="11" max="11" width="10.26953125" style="135" customWidth="1"/>
    <col min="12" max="12" width="4.1796875" style="135" customWidth="1"/>
    <col min="13" max="16384" width="9.1796875" style="135"/>
  </cols>
  <sheetData>
    <row r="2" spans="2:13" ht="15" thickBot="1" x14ac:dyDescent="0.4"/>
    <row r="3" spans="2:13" ht="15.75" customHeight="1" thickTop="1" x14ac:dyDescent="0.35">
      <c r="B3" s="231" t="s">
        <v>68</v>
      </c>
      <c r="C3" s="232"/>
      <c r="D3" s="232"/>
      <c r="E3" s="232"/>
      <c r="F3" s="232"/>
      <c r="G3" s="232"/>
      <c r="H3" s="232"/>
      <c r="I3" s="232"/>
      <c r="J3" s="232"/>
      <c r="K3" s="232"/>
      <c r="L3" s="233"/>
    </row>
    <row r="4" spans="2:13" ht="15" customHeight="1" x14ac:dyDescent="0.35">
      <c r="B4" s="234"/>
      <c r="C4" s="235"/>
      <c r="D4" s="235"/>
      <c r="E4" s="235"/>
      <c r="F4" s="235"/>
      <c r="G4" s="235"/>
      <c r="H4" s="235"/>
      <c r="I4" s="235"/>
      <c r="J4" s="235"/>
      <c r="K4" s="235"/>
      <c r="L4" s="236"/>
    </row>
    <row r="5" spans="2:13" ht="15" customHeight="1" x14ac:dyDescent="0.35">
      <c r="B5" s="234"/>
      <c r="C5" s="235"/>
      <c r="D5" s="235"/>
      <c r="E5" s="235"/>
      <c r="F5" s="235"/>
      <c r="G5" s="235"/>
      <c r="H5" s="235"/>
      <c r="I5" s="235"/>
      <c r="J5" s="235"/>
      <c r="K5" s="235"/>
      <c r="L5" s="236"/>
    </row>
    <row r="6" spans="2:13" ht="21" customHeight="1" x14ac:dyDescent="0.35">
      <c r="B6" s="130"/>
      <c r="C6" s="142"/>
      <c r="D6" s="142"/>
      <c r="E6" s="142"/>
      <c r="F6" s="142"/>
      <c r="G6" s="142"/>
      <c r="H6" s="142"/>
      <c r="I6" s="142"/>
      <c r="J6" s="142"/>
      <c r="K6" s="142"/>
      <c r="L6" s="120"/>
    </row>
    <row r="7" spans="2:13" ht="17" thickBot="1" x14ac:dyDescent="0.4">
      <c r="B7" s="130"/>
      <c r="C7" s="73" t="s">
        <v>69</v>
      </c>
      <c r="D7" s="262"/>
      <c r="E7" s="262"/>
      <c r="F7" s="262"/>
      <c r="G7" s="262"/>
      <c r="H7" s="262"/>
      <c r="I7" s="262"/>
      <c r="J7" s="262"/>
      <c r="K7" s="262"/>
      <c r="L7" s="144"/>
      <c r="M7" s="139"/>
    </row>
    <row r="8" spans="2:13" ht="35.25" customHeight="1" thickBot="1" x14ac:dyDescent="0.4">
      <c r="B8" s="130"/>
      <c r="C8" s="58" t="s">
        <v>70</v>
      </c>
      <c r="D8" s="263"/>
      <c r="E8" s="263"/>
      <c r="F8" s="263"/>
      <c r="G8" s="263"/>
      <c r="H8" s="263"/>
      <c r="I8" s="263"/>
      <c r="J8" s="263"/>
      <c r="K8" s="263"/>
      <c r="L8" s="143"/>
    </row>
    <row r="9" spans="2:13" ht="39.75" customHeight="1" thickBot="1" x14ac:dyDescent="0.4">
      <c r="B9" s="130"/>
      <c r="C9" s="147" t="s">
        <v>71</v>
      </c>
      <c r="D9" s="263"/>
      <c r="E9" s="263"/>
      <c r="F9" s="263"/>
      <c r="G9" s="263"/>
      <c r="H9" s="263"/>
      <c r="I9" s="263"/>
      <c r="J9" s="263"/>
      <c r="K9" s="263"/>
      <c r="L9" s="145"/>
    </row>
    <row r="10" spans="2:13" ht="97.5" customHeight="1" x14ac:dyDescent="0.35">
      <c r="B10" s="130"/>
      <c r="C10" s="148" t="s">
        <v>72</v>
      </c>
      <c r="D10" s="264"/>
      <c r="E10" s="264"/>
      <c r="F10" s="264"/>
      <c r="G10" s="264"/>
      <c r="H10" s="264"/>
      <c r="I10" s="264"/>
      <c r="J10" s="264"/>
      <c r="K10" s="264"/>
      <c r="L10" s="145"/>
    </row>
    <row r="11" spans="2:13" ht="18.75" customHeight="1" thickBot="1" x14ac:dyDescent="0.4">
      <c r="B11" s="146"/>
      <c r="C11" s="133"/>
      <c r="D11" s="133"/>
      <c r="E11" s="133"/>
      <c r="F11" s="133"/>
      <c r="G11" s="133"/>
      <c r="H11" s="133"/>
      <c r="I11" s="133"/>
      <c r="J11" s="133"/>
      <c r="K11" s="133"/>
      <c r="L11" s="134"/>
    </row>
    <row r="12" spans="2:13" ht="15" thickTop="1" x14ac:dyDescent="0.35"/>
  </sheetData>
  <sheetProtection algorithmName="SHA-512" hashValue="aFApDNeKTzBkcshSr2AcRy5wO7L6o2V4+nr6TthlMqjkaadvKyTzL3ciGasvtIMUdmnM1jto8FJRFGM5Cm1Ocg==" saltValue="XHm9xWmksf8gi7OxIvCkrw==" spinCount="100000" sheet="1" objects="1" scenarios="1" selectLockedCells="1"/>
  <protectedRanges>
    <protectedRange algorithmName="SHA-512" hashValue="SHG10UZqZcCCj1TlE0oMrNwpbuNqhSNbZCwxpw++PI3Kxkmq2fWr9Ho16Rbx5ot4bT8+4oJGur23Sg/eixRu2g==" saltValue="jl/WveE0aj4CwYBOiCOlBg==" spinCount="100000" sqref="D7:K10" name="Range1"/>
  </protectedRanges>
  <mergeCells count="5">
    <mergeCell ref="B3:L5"/>
    <mergeCell ref="D7:K7"/>
    <mergeCell ref="D8:K8"/>
    <mergeCell ref="D9:K9"/>
    <mergeCell ref="D10:K10"/>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5EC83-D5C1-4D5C-99F6-1378213F0706}">
  <sheetPr codeName="Sheet6"/>
  <dimension ref="A3:N37"/>
  <sheetViews>
    <sheetView showRowColHeaders="0" zoomScaleNormal="100" workbookViewId="0">
      <selection activeCell="D12" sqref="D12"/>
    </sheetView>
  </sheetViews>
  <sheetFormatPr defaultColWidth="9.1796875" defaultRowHeight="14.5" x14ac:dyDescent="0.35"/>
  <cols>
    <col min="1" max="1" width="9.26953125" style="154" customWidth="1"/>
    <col min="2" max="2" width="4.81640625" style="154" customWidth="1"/>
    <col min="3" max="3" width="33.26953125" style="154" customWidth="1"/>
    <col min="4" max="4" width="26.81640625" style="154" customWidth="1"/>
    <col min="5" max="5" width="11.453125" style="154" customWidth="1"/>
    <col min="6" max="6" width="14.26953125" style="154" customWidth="1"/>
    <col min="7" max="7" width="33.26953125" style="154" customWidth="1"/>
    <col min="8" max="8" width="14.1796875" style="154" customWidth="1"/>
    <col min="9" max="9" width="9" style="154" customWidth="1"/>
    <col min="10" max="10" width="2" style="154" customWidth="1"/>
    <col min="11" max="11" width="7.1796875" style="154" customWidth="1"/>
    <col min="12" max="16384" width="9.1796875" style="154"/>
  </cols>
  <sheetData>
    <row r="3" spans="1:12" x14ac:dyDescent="0.35">
      <c r="A3" s="158"/>
      <c r="B3" s="265" t="s">
        <v>73</v>
      </c>
      <c r="C3" s="266"/>
      <c r="D3" s="266"/>
      <c r="E3" s="266"/>
      <c r="F3" s="266"/>
      <c r="G3" s="266"/>
      <c r="H3" s="266"/>
      <c r="I3" s="266"/>
      <c r="J3" s="267"/>
    </row>
    <row r="4" spans="1:12" x14ac:dyDescent="0.35">
      <c r="A4" s="158"/>
      <c r="B4" s="265"/>
      <c r="C4" s="266"/>
      <c r="D4" s="266"/>
      <c r="E4" s="266"/>
      <c r="F4" s="266"/>
      <c r="G4" s="266"/>
      <c r="H4" s="266"/>
      <c r="I4" s="266"/>
      <c r="J4" s="267"/>
    </row>
    <row r="5" spans="1:12" x14ac:dyDescent="0.35">
      <c r="A5" s="158"/>
      <c r="B5" s="265"/>
      <c r="C5" s="266"/>
      <c r="D5" s="266"/>
      <c r="E5" s="266"/>
      <c r="F5" s="266"/>
      <c r="G5" s="266"/>
      <c r="H5" s="266"/>
      <c r="I5" s="266"/>
      <c r="J5" s="267"/>
    </row>
    <row r="6" spans="1:12" ht="16.5" x14ac:dyDescent="0.35">
      <c r="A6" s="158"/>
      <c r="B6" s="1"/>
      <c r="C6" s="1"/>
      <c r="D6" s="1"/>
      <c r="E6" s="1"/>
      <c r="F6" s="1"/>
      <c r="G6" s="1"/>
      <c r="H6" s="1"/>
      <c r="I6" s="1"/>
      <c r="J6" s="120"/>
      <c r="L6" s="155"/>
    </row>
    <row r="7" spans="1:12" ht="18" customHeight="1" x14ac:dyDescent="0.5">
      <c r="A7" s="158"/>
      <c r="B7" s="1"/>
      <c r="C7" s="270" t="s">
        <v>74</v>
      </c>
      <c r="D7" s="270"/>
      <c r="E7" s="1"/>
      <c r="F7" s="1"/>
      <c r="G7" s="4"/>
      <c r="H7" s="5"/>
      <c r="I7" s="5"/>
      <c r="J7" s="149"/>
      <c r="L7" s="156"/>
    </row>
    <row r="8" spans="1:12" ht="12" customHeight="1" x14ac:dyDescent="0.5">
      <c r="A8" s="158"/>
      <c r="B8" s="1"/>
      <c r="C8" s="1"/>
      <c r="D8" s="1"/>
      <c r="E8" s="1"/>
      <c r="F8" s="1"/>
      <c r="G8" s="3"/>
      <c r="H8" s="3"/>
      <c r="I8" s="3"/>
      <c r="J8" s="150"/>
      <c r="L8" s="156"/>
    </row>
    <row r="9" spans="1:12" ht="22.5" customHeight="1" thickBot="1" x14ac:dyDescent="0.55000000000000004">
      <c r="A9" s="158"/>
      <c r="B9" s="1"/>
      <c r="C9" s="71" t="s">
        <v>75</v>
      </c>
      <c r="D9" s="112"/>
      <c r="E9" s="1"/>
      <c r="F9" s="1"/>
      <c r="G9" s="1"/>
      <c r="H9" s="83"/>
      <c r="I9" s="3"/>
      <c r="J9" s="150"/>
      <c r="L9" s="156"/>
    </row>
    <row r="10" spans="1:12" ht="21" customHeight="1" thickBot="1" x14ac:dyDescent="0.55000000000000004">
      <c r="A10" s="158"/>
      <c r="B10" s="1"/>
      <c r="C10" s="70" t="s">
        <v>76</v>
      </c>
      <c r="D10" s="113">
        <v>2.4</v>
      </c>
      <c r="E10" s="6"/>
      <c r="F10" s="6"/>
      <c r="G10" s="269" t="str">
        <f>IFERROR(IF(AND($D$9&lt;DATE(2025,1,1),OR((VLOOKUP($D$13,Lookups!$C$8:$G$49,2,FALSE))&gt;(VLOOKUP($D$13,Lookups!$C$8:$G$49,4,FALSE)),(VLOOKUP($D$13,Lookups!$C$8:$G$49,3,FALSE))&gt;(VLOOKUP($D$13,Lookups!$C$8:$G$49,5,FALSE)))),"A nutrient permit is changing for the selected WwTW as of 01/01/2025. Therefore, two nutrient budgets will be calculated for the loading before and after the 2025 WwTW permit upgrade.",""),"")</f>
        <v/>
      </c>
      <c r="H10" s="83"/>
      <c r="I10" s="3"/>
      <c r="J10" s="150"/>
      <c r="K10" s="155"/>
      <c r="L10" s="157"/>
    </row>
    <row r="11" spans="1:12" ht="30.75" customHeight="1" thickBot="1" x14ac:dyDescent="0.4">
      <c r="A11" s="158"/>
      <c r="B11" s="1"/>
      <c r="C11" s="70" t="s">
        <v>77</v>
      </c>
      <c r="D11" s="114">
        <v>120</v>
      </c>
      <c r="E11" s="7"/>
      <c r="F11" s="7"/>
      <c r="G11" s="269"/>
      <c r="H11" s="83"/>
      <c r="I11" s="7"/>
      <c r="J11" s="143"/>
      <c r="K11" s="156"/>
      <c r="L11" s="157"/>
    </row>
    <row r="12" spans="1:12" ht="36" customHeight="1" thickBot="1" x14ac:dyDescent="0.4">
      <c r="A12" s="158"/>
      <c r="B12" s="1"/>
      <c r="C12" s="70" t="s">
        <v>78</v>
      </c>
      <c r="D12" s="115"/>
      <c r="E12" s="8"/>
      <c r="F12" s="8"/>
      <c r="G12" s="269"/>
      <c r="H12" s="83"/>
      <c r="I12" s="8"/>
      <c r="J12" s="145"/>
      <c r="K12" s="157"/>
    </row>
    <row r="13" spans="1:12" ht="50.25" customHeight="1" thickBot="1" x14ac:dyDescent="0.4">
      <c r="A13" s="158"/>
      <c r="B13" s="1"/>
      <c r="C13" s="72" t="s">
        <v>79</v>
      </c>
      <c r="D13" s="116"/>
      <c r="E13" s="8"/>
      <c r="F13" s="1"/>
      <c r="G13" s="269"/>
      <c r="H13" s="83"/>
      <c r="I13" s="8"/>
      <c r="J13" s="145"/>
      <c r="K13" s="157"/>
    </row>
    <row r="14" spans="1:12" ht="50.25" customHeight="1" x14ac:dyDescent="0.35">
      <c r="A14" s="158"/>
      <c r="B14" s="1"/>
      <c r="C14" s="15" t="s">
        <v>80</v>
      </c>
      <c r="D14" s="195" t="str">
        <f>(IFERROR(IF(OR(D13="Package Treatment Plant user defined",D13="Septic Tank user defined"),"Please enter value in cell to the right:",IF('Stage 1'!D9&lt;DATE(2025,1,1),VLOOKUP('Stage 1'!D13,Lookups!C8:F51,2,FALSE),VLOOKUP('Stage 1'!D13,Lookups!C8:G47,4,FALSE))),""))</f>
        <v/>
      </c>
      <c r="E14" s="117"/>
      <c r="F14" s="84" t="str">
        <f>IFERROR(IF(AND($D$9&lt;DATE(2025,1,1),(VLOOKUP($D$13,Lookups!$C$8:$G$49,2,FALSE))&gt;(VLOOKUP($D$13,Lookups!$C$8:$G$49,4,FALSE))), "Post 2025 WwTW P permit:",""),"")</f>
        <v/>
      </c>
      <c r="G14" s="86" t="str">
        <f>IFERROR(IF(AND($D$9&lt;DATE(2025,1,1),(VLOOKUP($D$13,Lookups!$C$8:$G$49,2,FALSE))&gt;(VLOOKUP($D$13,Lookups!$C$8:$G$49,4,FALSE))), VLOOKUP('Stage 1'!D13,Lookups!C8:G52,4,FALSE),""),"")</f>
        <v/>
      </c>
      <c r="H14" s="26" t="str">
        <f>IFERROR(IF(AND($D$9&lt;DATE(2025,1,1),(VLOOKUP($D$13,Lookups!$C$8:$G$49,2,FALSE))&gt;(VLOOKUP($D$13,Lookups!$C$8:$G$49,4,FALSE))), "mg TP/litre",""),"")</f>
        <v/>
      </c>
      <c r="I14" s="8"/>
      <c r="J14" s="120"/>
      <c r="K14" s="157"/>
    </row>
    <row r="15" spans="1:12" ht="50.25" hidden="1" customHeight="1" x14ac:dyDescent="0.35">
      <c r="A15" s="158"/>
      <c r="B15" s="1"/>
      <c r="C15" s="69" t="s">
        <v>81</v>
      </c>
      <c r="D15" s="82" t="str">
        <f>IFERROR(IF(OR(D13="Package Treatment Plant user defined",D13="Septic Tank user defined"),"Please enter value in cell to the right:",IF('Stage 1'!D9&lt;DATE(2025,1,1),VLOOKUP('Stage 1'!D13,Lookups!C8:G52, 3,FALSE), VLOOKUP('Stage 1'!D13,Lookups!C8:G51, 5,FALSE))),"")</f>
        <v/>
      </c>
      <c r="E15" s="117"/>
      <c r="F15" s="85" t="str">
        <f>IFERROR(IF(AND($D$9&lt;DATE(2025,1,1),(VLOOKUP($D$13,Lookups!$C$8:$G$49,3,FALSE))&gt;(VLOOKUP($D$13,Lookups!$C$8:$G$49,5,FALSE))), "Post 2025 WwTW N permit:",""),"")</f>
        <v/>
      </c>
      <c r="G15" s="86" t="str">
        <f>IFERROR(IF(AND($D$9&lt;DATE(2025,1,1),(VLOOKUP($D$13,Lookups!$C$8:$G$49,3,FALSE))&gt;(VLOOKUP($D$13,Lookups!$C$8:$G$49,5,FALSE))), VLOOKUP('Stage 1'!D13,Lookups!$C$8:$G$52,5,FALSE),""),"")</f>
        <v/>
      </c>
      <c r="H15" s="26" t="str">
        <f>IFERROR(IF(AND($D$9&lt;DATE(2025,1,1),(VLOOKUP($D$13,Lookups!$C$8:$G$49,3,FALSE))&gt;(VLOOKUP($D$13,Lookups!$C$8:$G$49,5,FALSE))), "mg TN/litre",""),"")</f>
        <v/>
      </c>
      <c r="I15" s="8"/>
      <c r="J15" s="145"/>
      <c r="K15" s="157"/>
    </row>
    <row r="16" spans="1:12" ht="18" customHeight="1" x14ac:dyDescent="0.35">
      <c r="A16" s="158"/>
      <c r="B16" s="1"/>
      <c r="C16" s="1"/>
      <c r="D16" s="1"/>
      <c r="E16" s="1"/>
      <c r="F16" s="1"/>
      <c r="G16" s="1"/>
      <c r="H16" s="1"/>
      <c r="I16" s="1"/>
      <c r="J16" s="120"/>
    </row>
    <row r="17" spans="1:14" ht="17.5" x14ac:dyDescent="0.35">
      <c r="A17" s="158"/>
      <c r="B17" s="1"/>
      <c r="C17" s="270" t="s">
        <v>82</v>
      </c>
      <c r="D17" s="270"/>
      <c r="E17" s="1"/>
      <c r="F17" s="1"/>
      <c r="G17" s="1"/>
      <c r="H17" s="1"/>
      <c r="I17" s="1"/>
      <c r="J17" s="120"/>
    </row>
    <row r="18" spans="1:14" x14ac:dyDescent="0.35">
      <c r="A18" s="158"/>
      <c r="B18" s="1"/>
      <c r="C18" s="1"/>
      <c r="D18" s="1"/>
      <c r="E18" s="1"/>
      <c r="F18" s="1"/>
      <c r="G18" s="1"/>
      <c r="H18" s="1"/>
      <c r="I18" s="1"/>
      <c r="J18" s="151"/>
    </row>
    <row r="19" spans="1:14" ht="3.75" customHeight="1" x14ac:dyDescent="0.35">
      <c r="A19" s="158"/>
      <c r="B19" s="1"/>
      <c r="C19" s="1"/>
      <c r="D19" s="1"/>
      <c r="E19" s="1"/>
      <c r="F19" s="1"/>
      <c r="G19" s="1"/>
      <c r="H19" s="1"/>
      <c r="I19" s="1"/>
      <c r="J19" s="151"/>
      <c r="N19" s="154" t="s">
        <v>83</v>
      </c>
    </row>
    <row r="20" spans="1:14" ht="16" hidden="1" x14ac:dyDescent="0.35">
      <c r="A20" s="158"/>
      <c r="B20" s="1"/>
      <c r="C20" s="268" t="str">
        <f>IFERROR(IF(AND($D$9&lt;DATE(2025,1,1),OR((VLOOKUP($D$13,Lookups!$C$8:$G$49,2,FALSE))&gt;(VLOOKUP($D$13,Lookups!$C$8:$G$49,4,FALSE)),(VLOOKUP($D$13,Lookups!$C$8:$G$49,3,FALSE))&gt;(VLOOKUP($D$13,Lookups!$C$8:$G$49,5,FALSE)))),"Post-2025 Stage 1 Nutrient Loading","Stage 1 Nutrient Loading"),"")</f>
        <v/>
      </c>
      <c r="D20" s="268"/>
      <c r="E20" s="1"/>
      <c r="F20" s="1"/>
      <c r="G20" s="268" t="str">
        <f>IFERROR(IF(AND($D$9&lt;DATE(2025,1,1),OR((VLOOKUP($D$13,Lookups!$C$8:$G$49,2,FALSE))&gt;(VLOOKUP($D$13,Lookups!$C$8:$G$49,4,FALSE)),(VLOOKUP($D$13,Lookups!$C$8:$G$49,3,FALSE))&gt;(VLOOKUP($D$13,Lookups!$C$8:$G$49,5,FALSE)))),"Pre-2025 Stage 1 Nutrient Loading",""),"")</f>
        <v/>
      </c>
      <c r="H20" s="268"/>
      <c r="I20" s="1"/>
      <c r="J20" s="120"/>
    </row>
    <row r="21" spans="1:14" hidden="1" x14ac:dyDescent="0.35">
      <c r="A21" s="158"/>
      <c r="B21" s="1"/>
      <c r="C21" s="1"/>
      <c r="D21" s="1"/>
      <c r="E21" s="1"/>
      <c r="F21" s="1"/>
      <c r="G21" s="1"/>
      <c r="H21" s="1"/>
      <c r="I21" s="1"/>
      <c r="J21" s="151"/>
    </row>
    <row r="22" spans="1:14" ht="17" hidden="1" thickBot="1" x14ac:dyDescent="0.5">
      <c r="A22" s="158"/>
      <c r="B22" s="1"/>
      <c r="C22" s="60" t="s">
        <v>84</v>
      </c>
      <c r="D22" s="61" t="str">
        <f>IF(ISBLANK(D12),"",D10*D12)</f>
        <v/>
      </c>
      <c r="E22" s="28" t="s">
        <v>85</v>
      </c>
      <c r="F22" s="1"/>
      <c r="G22" s="19" t="str">
        <f>IFERROR(IF(AND($D$9&lt;DATE(2025,1,1),OR((VLOOKUP($D$13,Lookups!$C$8:$G$49,2,FALSE))&gt;(VLOOKUP($D$13,Lookups!$C$8:$G$49,4,FALSE)),(VLOOKUP($D$13,Lookups!$C$8:$G$49,3,FALSE))&gt;(VLOOKUP($D$13,Lookups!$C$8:$G$49,5,FALSE)))),"Annual wastewater TP load:",""),"")</f>
        <v/>
      </c>
      <c r="H22" s="21" t="str">
        <f>IFERROR(IF(AND($D$9&lt;DATE(2025,1,1),OR((VLOOKUP($D$13,Lookups!$C$8:$G$49,2,FALSE))&gt;(VLOOKUP($D$13,Lookups!$C$8:$G$49,4,FALSE)),(VLOOKUP($D$13,Lookups!$C$8:$G$49,3,FALSE))&gt;(VLOOKUP($D$13,Lookups!$C$8:$G$49,5,FALSE)))),IF(D14=8,(D14*D$23)/1000000*365.25,(D14*D$23*0.9)/1000000*365.25),""),"")</f>
        <v/>
      </c>
      <c r="I22" s="28" t="str">
        <f>IFERROR(IF(AND($D$9&lt;DATE(2025,1,1),OR((VLOOKUP($D$13,Lookups!$C$8:$G$49,2,FALSE))&gt;(VLOOKUP($D$13,Lookups!$C$8:$G$49,4,FALSE)),(VLOOKUP($D$13,Lookups!$C$8:$G$49,3,FALSE))&gt;(VLOOKUP($D$13,Lookups!$C$8:$G$49,5,FALSE)))),"kg TP/yr",""),"")</f>
        <v/>
      </c>
      <c r="J22" s="152"/>
    </row>
    <row r="23" spans="1:14" hidden="1" x14ac:dyDescent="0.35">
      <c r="A23" s="158"/>
      <c r="B23" s="1"/>
      <c r="C23" s="27" t="s">
        <v>86</v>
      </c>
      <c r="D23" s="59" t="str">
        <f>IFERROR(D22*D11,"")</f>
        <v/>
      </c>
      <c r="E23" s="28" t="s">
        <v>87</v>
      </c>
      <c r="F23" s="1"/>
      <c r="G23" s="196"/>
      <c r="H23" s="196"/>
      <c r="I23" s="196"/>
      <c r="J23" s="120"/>
    </row>
    <row r="24" spans="1:14" hidden="1" x14ac:dyDescent="0.35">
      <c r="A24" s="158"/>
      <c r="B24" s="1"/>
      <c r="C24" s="1"/>
      <c r="D24" s="1"/>
      <c r="E24" s="87"/>
      <c r="F24" s="1"/>
      <c r="G24" s="1"/>
      <c r="H24" s="1"/>
      <c r="I24" s="87"/>
      <c r="J24" s="120"/>
    </row>
    <row r="25" spans="1:14" x14ac:dyDescent="0.35">
      <c r="A25" s="158"/>
      <c r="B25" s="1"/>
      <c r="C25" s="1"/>
      <c r="D25" s="1"/>
      <c r="E25" s="87"/>
      <c r="F25" s="1"/>
      <c r="G25" s="90"/>
      <c r="H25" s="90"/>
      <c r="I25" s="91"/>
      <c r="J25" s="153"/>
    </row>
    <row r="26" spans="1:14" ht="15" thickBot="1" x14ac:dyDescent="0.4">
      <c r="A26" s="158"/>
      <c r="B26" s="1"/>
      <c r="C26" s="60" t="s">
        <v>88</v>
      </c>
      <c r="D26" s="61" t="str">
        <f>IFERROR(IF(ISNUMBER(G14),G14*D23*0.9,IF(D14="Please enter value in cell to the right:",IF(AND(D14="Please enter value in cell to the right:",ISNUMBER(E14)),D23*E14, VLOOKUP((LEFT(D13,(LEN(D13)-13))&amp;" default"),Lookups!#REF!,2,FALSE)*D23),IF(OR(D13="Package Treatment Plant default",D13="Septic Tank default"),D14*D23,IF(D14=8,D14*D23,D14*D23*0.9)))),"")</f>
        <v/>
      </c>
      <c r="E26" s="28" t="s">
        <v>89</v>
      </c>
      <c r="F26" s="1"/>
      <c r="G26" s="92"/>
      <c r="H26" s="90"/>
      <c r="I26" s="90"/>
      <c r="J26" s="153"/>
    </row>
    <row r="27" spans="1:14" ht="15" thickBot="1" x14ac:dyDescent="0.4">
      <c r="A27" s="158"/>
      <c r="B27" s="1"/>
      <c r="C27" s="27" t="s">
        <v>90</v>
      </c>
      <c r="D27" s="59" t="str">
        <f>IFERROR($D$26/1000000,"")</f>
        <v/>
      </c>
      <c r="E27" s="28" t="s">
        <v>91</v>
      </c>
      <c r="F27" s="1"/>
      <c r="G27" s="92"/>
      <c r="H27" s="96"/>
      <c r="I27" s="93"/>
      <c r="J27" s="153"/>
    </row>
    <row r="28" spans="1:14" ht="15" thickBot="1" x14ac:dyDescent="0.4">
      <c r="A28" s="158"/>
      <c r="B28" s="1"/>
      <c r="C28" s="62" t="s">
        <v>92</v>
      </c>
      <c r="D28" s="64" t="str">
        <f>IFERROR($D$27*365.25,"")</f>
        <v/>
      </c>
      <c r="E28" s="28" t="s">
        <v>93</v>
      </c>
      <c r="F28" s="1"/>
      <c r="G28" s="92"/>
      <c r="H28" s="97"/>
      <c r="I28" s="93"/>
      <c r="J28" s="153"/>
    </row>
    <row r="29" spans="1:14" x14ac:dyDescent="0.35">
      <c r="A29" s="158"/>
      <c r="B29" s="1"/>
      <c r="C29" s="63" t="s">
        <v>94</v>
      </c>
      <c r="D29" s="65" t="str">
        <f>D28</f>
        <v/>
      </c>
      <c r="E29" s="88" t="s">
        <v>93</v>
      </c>
      <c r="F29" s="1"/>
      <c r="G29" s="94"/>
      <c r="H29" s="98"/>
      <c r="I29" s="95"/>
      <c r="J29" s="153"/>
    </row>
    <row r="30" spans="1:14" hidden="1" x14ac:dyDescent="0.35">
      <c r="A30" s="158"/>
      <c r="B30" s="1"/>
      <c r="C30" s="1"/>
      <c r="D30" s="1"/>
      <c r="E30" s="87"/>
      <c r="F30" s="1"/>
      <c r="G30" s="90"/>
      <c r="H30" s="90"/>
      <c r="I30" s="91"/>
      <c r="J30" s="153"/>
    </row>
    <row r="31" spans="1:14" hidden="1" x14ac:dyDescent="0.35">
      <c r="A31" s="158"/>
      <c r="B31" s="1"/>
      <c r="C31" s="1"/>
      <c r="D31" s="1"/>
      <c r="E31" s="87"/>
      <c r="F31" s="1"/>
      <c r="G31" s="90"/>
      <c r="H31" s="90"/>
      <c r="I31" s="91"/>
      <c r="J31" s="153"/>
    </row>
    <row r="32" spans="1:14" ht="15" hidden="1" thickBot="1" x14ac:dyDescent="0.4">
      <c r="A32" s="158"/>
      <c r="B32" s="1"/>
      <c r="C32" s="27" t="s">
        <v>95</v>
      </c>
      <c r="D32" s="59" t="str">
        <f>IFERROR(IF(ISNUMBER(G15),G15*D23*0.9,IF(D15="Please enter value in cell to the right:",IF(AND(D15="Please enter value in cell to the right:",ISNUMBER(E15)),D23*E15, VLOOKUP((LEFT(D13,(LEN(D13)-13))&amp;" default"),Lookups!C48:E49,3,FALSE)*D23),D15*D23*0.9)),"")</f>
        <v/>
      </c>
      <c r="E32" s="28" t="s">
        <v>96</v>
      </c>
      <c r="F32" s="1"/>
      <c r="G32" s="92"/>
      <c r="H32" s="96"/>
      <c r="I32" s="93"/>
      <c r="J32" s="153"/>
    </row>
    <row r="33" spans="1:10" ht="15" hidden="1" thickBot="1" x14ac:dyDescent="0.4">
      <c r="A33" s="158"/>
      <c r="B33" s="1"/>
      <c r="C33" s="66" t="s">
        <v>97</v>
      </c>
      <c r="D33" s="67" t="str">
        <f>IFERROR($D$32/1000000,"")</f>
        <v/>
      </c>
      <c r="E33" s="28" t="s">
        <v>98</v>
      </c>
      <c r="F33" s="1"/>
      <c r="G33" s="92"/>
      <c r="H33" s="96"/>
      <c r="I33" s="93"/>
      <c r="J33" s="153"/>
    </row>
    <row r="34" spans="1:10" ht="15" hidden="1" thickBot="1" x14ac:dyDescent="0.4">
      <c r="A34" s="158"/>
      <c r="B34" s="1"/>
      <c r="C34" s="66" t="s">
        <v>99</v>
      </c>
      <c r="D34" s="68" t="str">
        <f>IFERROR($D$33*365.25,"")</f>
        <v/>
      </c>
      <c r="E34" s="28" t="s">
        <v>100</v>
      </c>
      <c r="F34" s="1"/>
      <c r="G34" s="92"/>
      <c r="H34" s="97"/>
      <c r="I34" s="93"/>
      <c r="J34" s="153"/>
    </row>
    <row r="35" spans="1:10" hidden="1" x14ac:dyDescent="0.35">
      <c r="A35" s="158"/>
      <c r="B35" s="1"/>
      <c r="C35" s="19" t="s">
        <v>101</v>
      </c>
      <c r="D35" s="20" t="str">
        <f>D34</f>
        <v/>
      </c>
      <c r="E35" s="88" t="s">
        <v>100</v>
      </c>
      <c r="F35" s="1"/>
      <c r="G35" s="19" t="str">
        <f>IFERROR(IF(AND($D$9&lt;DATE(2025,1,1),OR((VLOOKUP($D$13,Lookups!$C$8:$G$49,2,FALSE))&gt;(VLOOKUP($D$13,Lookups!$C$8:$G$49,4,FALSE)),(VLOOKUP($D$13,Lookups!$C$8:$G$49,3,FALSE))&gt;(VLOOKUP($D$13,Lookups!$C$8:$G$49,5,FALSE)))),"Annual wastewater TN load:",""),"")</f>
        <v/>
      </c>
      <c r="H35" s="21" t="str">
        <f>IFERROR(IF(AND($D$9&lt;DATE(2025,1,1),OR((VLOOKUP($D$13,Lookups!$C$8:$G$49,2,FALSE))&gt;(VLOOKUP($D$13,Lookups!$C$8:$G$49,4,FALSE)),(VLOOKUP($D$13,Lookups!$C$8:$G$49,3,FALSE))&gt;(VLOOKUP($D$13,Lookups!$C$8:$G$49,5,FALSE)))),(D15*D$23*0.9)/1000000*365.25,""),"")</f>
        <v/>
      </c>
      <c r="I35" s="28" t="str">
        <f>IFERROR(IF(AND($D$9&lt;DATE(2025,1,1),OR((VLOOKUP($D$13,Lookups!$C$8:$G$49,2,FALSE))&gt;(VLOOKUP($D$13,Lookups!$C$8:$G$49,4,FALSE)),(VLOOKUP($D$13,Lookups!$C$8:$G$49,3,FALSE))&gt;(VLOOKUP($D$13,Lookups!$C$8:$G$49,5,FALSE)))),"kg TN/yr",""),"")</f>
        <v/>
      </c>
      <c r="J35" s="153"/>
    </row>
    <row r="36" spans="1:10" ht="15" thickBot="1" x14ac:dyDescent="0.4">
      <c r="A36" s="158"/>
      <c r="B36" s="146"/>
      <c r="C36" s="133"/>
      <c r="D36" s="133"/>
      <c r="E36" s="133"/>
      <c r="F36" s="133"/>
      <c r="G36" s="133"/>
      <c r="H36" s="133"/>
      <c r="I36" s="133"/>
      <c r="J36" s="134"/>
    </row>
    <row r="37" spans="1:10" ht="15" thickTop="1" x14ac:dyDescent="0.35"/>
  </sheetData>
  <sheetProtection algorithmName="SHA-512" hashValue="ATCf/TQ0ozl7+EbI5N5hmpUB3v6SlMQimbwFKWBvrsxdJeWOv8NsHBWm/mO9daa25nG9YV9NH9xOvoWyUPUC9Q==" saltValue="fwbVqINgRmDiFfcHzVPmyQ==" spinCount="100000" sheet="1" selectLockedCells="1"/>
  <protectedRanges>
    <protectedRange algorithmName="SHA-512" hashValue="9eFLYwbQxhpezS4HULhG7iBaGmH5LoseTU2XnhelcWF+/l82pYUC3srt3byn/vuneXy5XFyZVPQbagh6SLqRzQ==" saltValue="CEix3VmL8kRrd4op8qAhjg==" spinCount="100000" sqref="E14:E15 D9:D13" name="Range1"/>
  </protectedRanges>
  <mergeCells count="6">
    <mergeCell ref="B3:J5"/>
    <mergeCell ref="C20:D20"/>
    <mergeCell ref="G20:H20"/>
    <mergeCell ref="G10:G13"/>
    <mergeCell ref="C17:D17"/>
    <mergeCell ref="C7:D7"/>
  </mergeCells>
  <conditionalFormatting sqref="E14:E15">
    <cfRule type="expression" dxfId="9" priority="10">
      <formula>OR(ISNUMBER($D$15),ISBLANK($D$13))</formula>
    </cfRule>
    <cfRule type="expression" dxfId="8" priority="11">
      <formula>($D$15="Please enter value in cell to the right:")</formula>
    </cfRule>
  </conditionalFormatting>
  <conditionalFormatting sqref="G14">
    <cfRule type="expression" dxfId="7" priority="5">
      <formula>ISNUMBER($G$14)</formula>
    </cfRule>
  </conditionalFormatting>
  <conditionalFormatting sqref="G10 H9:H15">
    <cfRule type="expression" dxfId="6" priority="12">
      <formula>_xlfn.ISFORMULA($G$10)</formula>
    </cfRule>
    <cfRule type="expression" dxfId="5" priority="13">
      <formula>ISTEXT($G$10)</formula>
    </cfRule>
  </conditionalFormatting>
  <conditionalFormatting sqref="G15">
    <cfRule type="expression" dxfId="4" priority="4">
      <formula>ISNUMBER($G$15)</formula>
    </cfRule>
  </conditionalFormatting>
  <conditionalFormatting sqref="H22">
    <cfRule type="expression" dxfId="3" priority="2">
      <formula>ISNUMBER($H$22)</formula>
    </cfRule>
  </conditionalFormatting>
  <conditionalFormatting sqref="H35">
    <cfRule type="expression" dxfId="2" priority="1">
      <formula>ISNUMBER(H35)</formula>
    </cfRule>
  </conditionalFormatting>
  <dataValidations count="4">
    <dataValidation type="date" operator="greaterThan" allowBlank="1" showInputMessage="1" showErrorMessage="1" errorTitle="Date Error" error="Please enter a date after 01/01/2022 date in correct dd/mm/yyyy format." prompt="Enter date as dd/mm/yyyy format. " sqref="D9" xr:uid="{515E4566-AFB5-4866-94DE-CB431AAF4C1A}">
      <formula1>44562</formula1>
    </dataValidation>
    <dataValidation type="decimal" operator="greaterThan" showInputMessage="1" showErrorMessage="1" prompt="The average occupancy rate (people per dwelling/unit) should not be edited unless there is sufficient evidence." sqref="D10" xr:uid="{31DEF3BB-E2E5-4E5C-BF5A-2425D3EB9410}">
      <formula1>0</formula1>
    </dataValidation>
    <dataValidation type="whole" operator="greaterThan" showInputMessage="1" showErrorMessage="1" errorTitle="Water usage:" error="Please enter a whole number in litres/person/day" prompt="Keep as 120 unless other efficiency measures are used. " sqref="D11" xr:uid="{A8EA6526-60C6-4C2D-9A44-9CEB14D43876}">
      <formula1>0</formula1>
    </dataValidation>
    <dataValidation type="whole" operator="greaterThan" allowBlank="1" showInputMessage="1" showErrorMessage="1" errorTitle="Development proposal" error="Please ensure that the total number of dwellings is entered as a whole number" prompt="Please enter the total number of dwellings/units that will be within the development site as of the project completion date." sqref="D12" xr:uid="{87F490E9-C1CC-4992-A666-0F3B65B428BF}">
      <formula1>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76E0497B-089C-459A-B2E2-C8A2AF71C14C}">
          <x14:formula1>
            <xm:f>'C:\Users\DS56\OneDrive - Ricardo Plc\NE NN\[Copy of Herefordshire Council Phosphate Budget Calculator_Final.xlsx]Stage 2 and 3 lookups'!#REF!</xm:f>
          </x14:formula1>
          <xm:sqref>J8:J10</xm:sqref>
        </x14:dataValidation>
        <x14:dataValidation type="list" allowBlank="1" showInputMessage="1" showErrorMessage="1" xr:uid="{2060F248-1654-4F8C-B1B2-CB874E476D6E}">
          <x14:formula1>
            <xm:f>Lookups!$C$8:$C$51</xm:f>
          </x14:formula1>
          <xm:sqref>D13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sheetPr codeName="Sheet7"/>
  <dimension ref="A3:J34"/>
  <sheetViews>
    <sheetView showRowColHeaders="0" tabSelected="1" zoomScaleNormal="100" workbookViewId="0">
      <selection activeCell="D15" sqref="D15"/>
    </sheetView>
  </sheetViews>
  <sheetFormatPr defaultColWidth="9.1796875" defaultRowHeight="14.5" x14ac:dyDescent="0.35"/>
  <cols>
    <col min="1" max="1" width="9.1796875" style="135"/>
    <col min="2" max="2" width="4.7265625" style="135" customWidth="1"/>
    <col min="3" max="3" width="32.1796875" style="135" customWidth="1"/>
    <col min="4" max="4" width="8.453125" style="135" bestFit="1" customWidth="1"/>
    <col min="5" max="5" width="21.1796875" style="135" customWidth="1"/>
    <col min="6" max="6" width="17.7265625" style="135" hidden="1" customWidth="1"/>
    <col min="7" max="7" width="5.453125" style="135" customWidth="1"/>
    <col min="8" max="8" width="8.1796875" style="135" customWidth="1"/>
    <col min="9" max="9" width="9.1796875" style="135" customWidth="1"/>
    <col min="10" max="10" width="26.1796875" style="135" customWidth="1"/>
    <col min="11" max="16384" width="9.1796875" style="135"/>
  </cols>
  <sheetData>
    <row r="3" spans="1:10" x14ac:dyDescent="0.35">
      <c r="A3" s="136"/>
      <c r="B3" s="265" t="s">
        <v>102</v>
      </c>
      <c r="C3" s="266"/>
      <c r="D3" s="266"/>
      <c r="E3" s="266"/>
      <c r="F3" s="266"/>
      <c r="G3" s="267"/>
    </row>
    <row r="4" spans="1:10" x14ac:dyDescent="0.35">
      <c r="A4" s="136"/>
      <c r="B4" s="265"/>
      <c r="C4" s="266"/>
      <c r="D4" s="266"/>
      <c r="E4" s="266"/>
      <c r="F4" s="266"/>
      <c r="G4" s="267"/>
    </row>
    <row r="5" spans="1:10" x14ac:dyDescent="0.35">
      <c r="A5" s="136"/>
      <c r="B5" s="265"/>
      <c r="C5" s="266"/>
      <c r="D5" s="266"/>
      <c r="E5" s="266"/>
      <c r="F5" s="266"/>
      <c r="G5" s="267"/>
    </row>
    <row r="6" spans="1:10" ht="16.5" x14ac:dyDescent="0.35">
      <c r="A6" s="136"/>
      <c r="B6" s="1"/>
      <c r="C6" s="1"/>
      <c r="D6" s="1"/>
      <c r="E6" s="1"/>
      <c r="F6" s="1"/>
      <c r="G6" s="144"/>
    </row>
    <row r="7" spans="1:10" ht="18" customHeight="1" x14ac:dyDescent="0.35">
      <c r="A7" s="136"/>
      <c r="B7" s="1"/>
      <c r="C7" s="274" t="s">
        <v>74</v>
      </c>
      <c r="D7" s="274"/>
      <c r="E7" s="274"/>
      <c r="F7" s="274"/>
      <c r="G7" s="143"/>
    </row>
    <row r="8" spans="1:10" ht="12" customHeight="1" x14ac:dyDescent="0.35">
      <c r="A8" s="136"/>
      <c r="B8" s="1"/>
      <c r="C8" s="1"/>
      <c r="D8" s="1"/>
      <c r="E8" s="1"/>
      <c r="F8" s="1"/>
      <c r="G8" s="143"/>
    </row>
    <row r="9" spans="1:10" ht="17" thickBot="1" x14ac:dyDescent="0.4">
      <c r="A9" s="136"/>
      <c r="B9" s="1"/>
      <c r="C9" s="272" t="s">
        <v>103</v>
      </c>
      <c r="D9" s="272"/>
      <c r="E9" s="106"/>
      <c r="F9" s="1"/>
      <c r="G9" s="143"/>
    </row>
    <row r="10" spans="1:10" ht="17" thickBot="1" x14ac:dyDescent="0.4">
      <c r="A10" s="136"/>
      <c r="B10" s="1"/>
      <c r="C10" s="273" t="s">
        <v>104</v>
      </c>
      <c r="D10" s="273"/>
      <c r="E10" s="107"/>
      <c r="F10" s="1"/>
      <c r="G10" s="145"/>
    </row>
    <row r="11" spans="1:10" ht="17" thickBot="1" x14ac:dyDescent="0.4">
      <c r="A11" s="136"/>
      <c r="B11" s="1"/>
      <c r="C11" s="273" t="s">
        <v>105</v>
      </c>
      <c r="D11" s="273"/>
      <c r="E11" s="108"/>
      <c r="F11" s="1"/>
      <c r="G11" s="145"/>
    </row>
    <row r="12" spans="1:10" x14ac:dyDescent="0.35">
      <c r="A12" s="136"/>
      <c r="B12" s="1"/>
      <c r="C12" s="271" t="s">
        <v>106</v>
      </c>
      <c r="D12" s="271"/>
      <c r="E12" s="109"/>
      <c r="F12" s="1"/>
      <c r="G12" s="120"/>
    </row>
    <row r="13" spans="1:10" x14ac:dyDescent="0.35">
      <c r="A13" s="136"/>
      <c r="B13" s="1"/>
      <c r="C13" s="1"/>
      <c r="D13" s="1"/>
      <c r="E13" s="1"/>
      <c r="F13" s="1"/>
      <c r="G13" s="120"/>
    </row>
    <row r="14" spans="1:10" ht="63" customHeight="1" thickBot="1" x14ac:dyDescent="0.4">
      <c r="A14" s="136"/>
      <c r="B14" s="1"/>
      <c r="C14" s="75" t="s">
        <v>107</v>
      </c>
      <c r="D14" s="76" t="s">
        <v>108</v>
      </c>
      <c r="E14" s="191" t="s">
        <v>109</v>
      </c>
      <c r="F14" s="77" t="s">
        <v>110</v>
      </c>
      <c r="G14" s="120"/>
    </row>
    <row r="15" spans="1:10" x14ac:dyDescent="0.35">
      <c r="A15" s="136"/>
      <c r="B15" s="1"/>
      <c r="C15" s="228"/>
      <c r="D15" s="226"/>
      <c r="E15" s="227" t="str">
        <f>IF(OR(ISBLANK($C15),ISBLANK($D15),ISBLANK($E$10),ISBLANK($E$11)),"",IFERROR($D15*VLOOKUP((IF(OR($C15="Residential urban land",$C15="Commercial/industrial urban land",$C15="Open urban land",$C15="Greenspace",$C15="Community food growing",$C15="Woodland",$C15="Shrub", $C15="Water"), "|||"&amp;$C15, (VLOOKUP('Stage 2'!$E$9,Lookups!$C$226:$D$226,2,FALSE)&amp;"|"&amp;$C15&amp;"|"&amp;VLOOKUP('Stage 2'!$E$12,Lookups!$C$240:$D$241,2,FALSE)&amp;"|"&amp;VLOOKUP('Stage 2'!$E$11,Lookups!$C$200:$E$222,3,FALSE)&amp;"|"&amp;VLOOKUP($E$10,Lookups!$C$231:$D$236,2,FALSE)))),Lookups!$H$55:$J$196,2,FALSE),
IFERROR(IFERROR($D15*VLOOKUP($C15&amp;"|"&amp;VLOOKUP('Stage 2'!$E$12,Lookups!$C$240:$D$241,2,FALSE)&amp;"|"&amp;VLOOKUP('Stage 2'!$E$11,Lookups!$C$200:$E$222,3,FALSE)&amp;"|"&amp;VLOOKUP($E$10,Lookups!$C$231:$D$236,2,FALSE),Lookups!$H$55:$J$196,2,FALSE),IFERROR($D15*VLOOKUP($C15&amp;"|"&amp;"TRUE"&amp;"|"&amp;VLOOKUP('Stage 2'!$E$11,Lookups!$C$200:$E$222,3,FALSE)&amp;"|"&amp;VLOOKUP($E$10,Lookups!$C$231:$D$236,2,FALSE),Lookups!$H$55:$J$196,2,FALSE),$D15*VLOOKUP($C15&amp;"|"&amp;VLOOKUP('Stage 2'!$E$12,Lookups!$C$240:$D$241,2,FALSE)&amp;"|"&amp;VLOOKUP('Stage 2'!$E$11,Lookups!$C$200:$E$222,3,FALSE)&amp;"|"&amp;"DrainedArGr",Lookups!$H$55:$J$196,2,FALSE))),IFERROR($D15*VLOOKUP($C15&amp;"|"&amp;VLOOKUP('Stage 2'!$E$11,Lookups!$C$200:$E$222,3,FALSE),Lookups!$K$55:$M$188,2,FALSE),$D15*VLOOKUP($C15,Lookups!$D$55:$O$188,11,FALSE)))))</f>
        <v/>
      </c>
      <c r="F15" s="180" t="str">
        <f>IF(OR(ISBLANK($C15),ISBLANK($D15),ISBLANK($E$10),ISBLANK($E$11)),"",IFERROR($D15*VLOOKUP((IF(OR($C15="Residential urban land",$C15="Commercial/industrial urban land",$C15="Open urban land",$C15="Greenspace",$C15="Community food growing",$C15="Woodland",$C15="Shrub", $C15="Water"), "|||"&amp;$C15, (VLOOKUP('Stage 2'!$E$9,Lookups!$C$226:$D$226,2,FALSE)&amp;"|"&amp;$C15&amp;"|"&amp;VLOOKUP('Stage 2'!$E$12,Lookups!$C$240:$D$241,2,FALSE)&amp;"|"&amp;VLOOKUP('Stage 2'!$E$11,Lookups!$C$200:$E$222,3,FALSE)&amp;"|"&amp;VLOOKUP($E$10,Lookups!$C$231:$D$236,2,FALSE)))),Lookups!$H$55:$J$196,3,FALSE),
IFERROR(IFERROR($D15*VLOOKUP($C15&amp;"|"&amp;VLOOKUP('Stage 2'!$E$12,Lookups!$C$240:$D$241,2,FALSE)&amp;"|"&amp;VLOOKUP('Stage 2'!$E$11,Lookups!$C$200:$E$222,3,FALSE)&amp;"|"&amp;VLOOKUP($E$10,Lookups!$C$231:$D$236,2,FALSE),Lookups!$H$55:$J$196,3,FALSE),IFERROR($D15*VLOOKUP($C15&amp;"|"&amp;"TRUE"&amp;"|"&amp;VLOOKUP('Stage 2'!$E$11,Lookups!$C$200:$E$222,3,FALSE)&amp;"|"&amp;VLOOKUP($E$10,Lookups!$C$231:$D$236,2,FALSE),Lookups!$H$55:$J$196,3,FALSE),$D15*VLOOKUP($C15&amp;"|"&amp;VLOOKUP('Stage 2'!$E$12,Lookups!$C$240:$D$241,2,FALSE)&amp;"|"&amp;VLOOKUP('Stage 2'!$E$11,Lookups!$C$200:$E$222,3,FALSE)&amp;"|"&amp;"DrainedArGr",Lookups!$H$55:$J$196,3,FALSE))),IFERROR($D15*VLOOKUP($C15&amp;"|"&amp;VLOOKUP('Stage 2'!$E$11,Lookups!$C$200:$E$222,3,FALSE),Lookups!$K$55:$M$188,3,FALSE),$D15*VLOOKUP($C15,Lookups!$D$55:$O$188,12,FALSE)))))</f>
        <v/>
      </c>
      <c r="G15" s="159"/>
      <c r="H15" s="160"/>
      <c r="I15" s="160"/>
      <c r="J15" s="160"/>
    </row>
    <row r="16" spans="1:10" x14ac:dyDescent="0.35">
      <c r="A16" s="136"/>
      <c r="B16" s="1"/>
      <c r="C16" s="110"/>
      <c r="D16" s="226"/>
      <c r="E16" s="180" t="str">
        <f>IF(OR(ISBLANK($C16),ISBLANK($D16),ISBLANK($E$10),ISBLANK($E$11)),"",IFERROR($D16*VLOOKUP((IF(OR($C16="Residential urban land",$C16="Commercial/industrial urban land",$C16="Open urban land",$C16="Greenspace",$C16="Community food growing",$C16="Woodland",$C16="Shrub", $C16="Water"), "|||"&amp;$C16, (VLOOKUP('Stage 2'!$E$9,Lookups!$C$226:$D$226,2,FALSE)&amp;"|"&amp;$C16&amp;"|"&amp;VLOOKUP('Stage 2'!$E$12,Lookups!$C$240:$D$241,2,FALSE)&amp;"|"&amp;VLOOKUP('Stage 2'!$E$11,Lookups!$C$200:$E$222,3,FALSE)&amp;"|"&amp;VLOOKUP($E$10,Lookups!$C$231:$D$236,2,FALSE)))),Lookups!$H$55:$J$196,2,FALSE),
IFERROR(IFERROR($D16*VLOOKUP($C16&amp;"|"&amp;VLOOKUP('Stage 2'!$E$12,Lookups!$C$240:$D$241,2,FALSE)&amp;"|"&amp;VLOOKUP('Stage 2'!$E$11,Lookups!$C$200:$E$222,3,FALSE)&amp;"|"&amp;VLOOKUP($E$10,Lookups!$C$231:$D$236,2,FALSE),Lookups!$H$55:$J$196,2,FALSE),IFERROR($D16*VLOOKUP($C16&amp;"|"&amp;"TRUE"&amp;"|"&amp;VLOOKUP('Stage 2'!$E$11,Lookups!$C$200:$E$222,3,FALSE)&amp;"|"&amp;VLOOKUP($E$10,Lookups!$C$231:$D$236,2,FALSE),Lookups!$H$55:$J$196,2,FALSE),$D16*VLOOKUP($C16&amp;"|"&amp;VLOOKUP('Stage 2'!$E$12,Lookups!$C$240:$D$241,2,FALSE)&amp;"|"&amp;VLOOKUP('Stage 2'!$E$11,Lookups!$C$200:$E$222,3,FALSE)&amp;"|"&amp;"DrainedArGr",Lookups!$H$55:$J$196,2,FALSE))),IFERROR($D16*VLOOKUP($C16&amp;"|"&amp;VLOOKUP('Stage 2'!$E$11,Lookups!$C$200:$E$222,3,FALSE),Lookups!$K$55:$M$188,2,FALSE),$D16*VLOOKUP($C16,Lookups!$D$55:$O$188,11,FALSE)))))</f>
        <v/>
      </c>
      <c r="F16" s="180" t="str">
        <f>IF(OR(ISBLANK($C16),ISBLANK($D16),ISBLANK($E$10),ISBLANK($E$11)),"",IFERROR($D16*VLOOKUP((IF(OR($C16="Residential urban land",$C16="Commercial/industrial urban land",$C16="Open urban land",$C16="Greenspace",$C16="Community food growing",$C16="Woodland",$C16="Shrub", $C16="Water"), "|||"&amp;$C16, (VLOOKUP('Stage 2'!$E$9,Lookups!$C$226:$D$226,2,FALSE)&amp;"|"&amp;$C16&amp;"|"&amp;VLOOKUP('Stage 2'!$E$12,Lookups!$C$240:$D$241,2,FALSE)&amp;"|"&amp;VLOOKUP('Stage 2'!$E$11,Lookups!$C$200:$E$222,3,FALSE)&amp;"|"&amp;VLOOKUP($E$10,Lookups!$C$231:$D$236,2,FALSE)))),Lookups!$H$55:$J$196,3,FALSE),
IFERROR(IFERROR($D16*VLOOKUP($C16&amp;"|"&amp;VLOOKUP('Stage 2'!$E$12,Lookups!$C$240:$D$241,2,FALSE)&amp;"|"&amp;VLOOKUP('Stage 2'!$E$11,Lookups!$C$200:$E$222,3,FALSE)&amp;"|"&amp;VLOOKUP($E$10,Lookups!$C$231:$D$236,2,FALSE),Lookups!$H$55:$J$196,3,FALSE),IFERROR($D16*VLOOKUP($C16&amp;"|"&amp;"TRUE"&amp;"|"&amp;VLOOKUP('Stage 2'!$E$11,Lookups!$C$200:$E$222,3,FALSE)&amp;"|"&amp;VLOOKUP($E$10,Lookups!$C$231:$D$236,2,FALSE),Lookups!$H$55:$J$196,3,FALSE),$D16*VLOOKUP($C16&amp;"|"&amp;VLOOKUP('Stage 2'!$E$12,Lookups!$C$240:$D$241,2,FALSE)&amp;"|"&amp;VLOOKUP('Stage 2'!$E$11,Lookups!$C$200:$E$222,3,FALSE)&amp;"|"&amp;"DrainedArGr",Lookups!$H$55:$J$196,3,FALSE))),IFERROR($D16*VLOOKUP($C16&amp;"|"&amp;VLOOKUP('Stage 2'!$E$11,Lookups!$C$200:$E$222,3,FALSE),Lookups!$K$55:$M$188,3,FALSE),$D16*VLOOKUP($C16,Lookups!$D$55:$O$188,12,FALSE)))))</f>
        <v/>
      </c>
      <c r="G16" s="159"/>
      <c r="H16" s="160"/>
      <c r="I16" s="160"/>
      <c r="J16" s="160"/>
    </row>
    <row r="17" spans="1:10" x14ac:dyDescent="0.35">
      <c r="A17" s="136"/>
      <c r="B17" s="1"/>
      <c r="C17" s="110"/>
      <c r="D17" s="226"/>
      <c r="E17" s="180" t="str">
        <f>IF(OR(ISBLANK($C17),ISBLANK($D17),ISBLANK($E$10),ISBLANK($E$11)),"",IFERROR($D17*VLOOKUP((IF(OR($C17="Residential urban land",$C17="Commercial/industrial urban land",$C17="Open urban land",$C17="Greenspace",$C17="Community food growing",$C17="Woodland",$C17="Shrub", $C17="Water"), "|||"&amp;$C17, (VLOOKUP('Stage 2'!$E$9,Lookups!$C$226:$D$226,2,FALSE)&amp;"|"&amp;$C17&amp;"|"&amp;VLOOKUP('Stage 2'!$E$12,Lookups!$C$240:$D$241,2,FALSE)&amp;"|"&amp;VLOOKUP('Stage 2'!$E$11,Lookups!$C$200:$E$222,3,FALSE)&amp;"|"&amp;VLOOKUP($E$10,Lookups!$C$231:$D$236,2,FALSE)))),Lookups!$H$55:$J$196,2,FALSE),
IFERROR(IFERROR($D17*VLOOKUP($C17&amp;"|"&amp;VLOOKUP('Stage 2'!$E$12,Lookups!$C$240:$D$241,2,FALSE)&amp;"|"&amp;VLOOKUP('Stage 2'!$E$11,Lookups!$C$200:$E$222,3,FALSE)&amp;"|"&amp;VLOOKUP($E$10,Lookups!$C$231:$D$236,2,FALSE),Lookups!$H$55:$J$196,2,FALSE),IFERROR($D17*VLOOKUP($C17&amp;"|"&amp;"TRUE"&amp;"|"&amp;VLOOKUP('Stage 2'!$E$11,Lookups!$C$200:$E$222,3,FALSE)&amp;"|"&amp;VLOOKUP($E$10,Lookups!$C$231:$D$236,2,FALSE),Lookups!$H$55:$J$196,2,FALSE),$D17*VLOOKUP($C17&amp;"|"&amp;VLOOKUP('Stage 2'!$E$12,Lookups!$C$240:$D$241,2,FALSE)&amp;"|"&amp;VLOOKUP('Stage 2'!$E$11,Lookups!$C$200:$E$222,3,FALSE)&amp;"|"&amp;"DrainedArGr",Lookups!$H$55:$J$196,2,FALSE))),IFERROR($D17*VLOOKUP($C17&amp;"|"&amp;VLOOKUP('Stage 2'!$E$11,Lookups!$C$200:$E$222,3,FALSE),Lookups!$K$55:$M$188,2,FALSE),$D17*VLOOKUP($C17,Lookups!$D$55:$O$188,11,FALSE)))))</f>
        <v/>
      </c>
      <c r="F17" s="180" t="str">
        <f>IF(OR(ISBLANK($C17),ISBLANK($D17),ISBLANK($E$10),ISBLANK($E$11)),"",IFERROR($D17*VLOOKUP((IF(OR($C17="Residential urban land",$C17="Commercial/industrial urban land",$C17="Open urban land",$C17="Greenspace",$C17="Community food growing",$C17="Woodland",$C17="Shrub", $C17="Water"), "|||"&amp;$C17, (VLOOKUP('Stage 2'!$E$9,Lookups!$C$226:$D$226,2,FALSE)&amp;"|"&amp;$C17&amp;"|"&amp;VLOOKUP('Stage 2'!$E$12,Lookups!$C$240:$D$241,2,FALSE)&amp;"|"&amp;VLOOKUP('Stage 2'!$E$11,Lookups!$C$200:$E$222,3,FALSE)&amp;"|"&amp;VLOOKUP($E$10,Lookups!$C$231:$D$236,2,FALSE)))),Lookups!$H$55:$J$196,3,FALSE),
IFERROR(IFERROR($D17*VLOOKUP($C17&amp;"|"&amp;VLOOKUP('Stage 2'!$E$12,Lookups!$C$240:$D$241,2,FALSE)&amp;"|"&amp;VLOOKUP('Stage 2'!$E$11,Lookups!$C$200:$E$222,3,FALSE)&amp;"|"&amp;VLOOKUP($E$10,Lookups!$C$231:$D$236,2,FALSE),Lookups!$H$55:$J$196,3,FALSE),IFERROR($D17*VLOOKUP($C17&amp;"|"&amp;"TRUE"&amp;"|"&amp;VLOOKUP('Stage 2'!$E$11,Lookups!$C$200:$E$222,3,FALSE)&amp;"|"&amp;VLOOKUP($E$10,Lookups!$C$231:$D$236,2,FALSE),Lookups!$H$55:$J$196,3,FALSE),$D17*VLOOKUP($C17&amp;"|"&amp;VLOOKUP('Stage 2'!$E$12,Lookups!$C$240:$D$241,2,FALSE)&amp;"|"&amp;VLOOKUP('Stage 2'!$E$11,Lookups!$C$200:$E$222,3,FALSE)&amp;"|"&amp;"DrainedArGr",Lookups!$H$55:$J$196,3,FALSE))),IFERROR($D17*VLOOKUP($C17&amp;"|"&amp;VLOOKUP('Stage 2'!$E$11,Lookups!$C$200:$E$222,3,FALSE),Lookups!$K$55:$M$188,3,FALSE),$D17*VLOOKUP($C17,Lookups!$D$55:$O$188,12,FALSE)))))</f>
        <v/>
      </c>
      <c r="G17" s="159"/>
      <c r="H17" s="160"/>
      <c r="I17" s="160"/>
      <c r="J17" s="160"/>
    </row>
    <row r="18" spans="1:10" x14ac:dyDescent="0.35">
      <c r="A18" s="136"/>
      <c r="B18" s="1"/>
      <c r="C18" s="110"/>
      <c r="D18" s="226"/>
      <c r="E18" s="180" t="str">
        <f>IF(OR(ISBLANK($C18),ISBLANK($D18),ISBLANK($E$10),ISBLANK($E$11)),"",IFERROR($D18*VLOOKUP((IF(OR($C18="Residential urban land",$C18="Commercial/industrial urban land",$C18="Open urban land",$C18="Greenspace",$C18="Community food growing",$C18="Woodland",$C18="Shrub", $C18="Water"), "|||"&amp;$C18, (VLOOKUP('Stage 2'!$E$9,Lookups!$C$226:$D$226,2,FALSE)&amp;"|"&amp;$C18&amp;"|"&amp;VLOOKUP('Stage 2'!$E$12,Lookups!$C$240:$D$241,2,FALSE)&amp;"|"&amp;VLOOKUP('Stage 2'!$E$11,Lookups!$C$200:$E$222,3,FALSE)&amp;"|"&amp;VLOOKUP($E$10,Lookups!$C$231:$D$236,2,FALSE)))),Lookups!$H$55:$J$196,2,FALSE),
IFERROR(IFERROR($D18*VLOOKUP($C18&amp;"|"&amp;VLOOKUP('Stage 2'!$E$12,Lookups!$C$240:$D$241,2,FALSE)&amp;"|"&amp;VLOOKUP('Stage 2'!$E$11,Lookups!$C$200:$E$222,3,FALSE)&amp;"|"&amp;VLOOKUP($E$10,Lookups!$C$231:$D$236,2,FALSE),Lookups!$H$55:$J$196,2,FALSE),IFERROR($D18*VLOOKUP($C18&amp;"|"&amp;"TRUE"&amp;"|"&amp;VLOOKUP('Stage 2'!$E$11,Lookups!$C$200:$E$222,3,FALSE)&amp;"|"&amp;VLOOKUP($E$10,Lookups!$C$231:$D$236,2,FALSE),Lookups!$H$55:$J$196,2,FALSE),$D18*VLOOKUP($C18&amp;"|"&amp;VLOOKUP('Stage 2'!$E$12,Lookups!$C$240:$D$241,2,FALSE)&amp;"|"&amp;VLOOKUP('Stage 2'!$E$11,Lookups!$C$200:$E$222,3,FALSE)&amp;"|"&amp;"DrainedArGr",Lookups!$H$55:$J$196,2,FALSE))),IFERROR($D18*VLOOKUP($C18&amp;"|"&amp;VLOOKUP('Stage 2'!$E$11,Lookups!$C$200:$E$222,3,FALSE),Lookups!$K$55:$M$188,2,FALSE),$D18*VLOOKUP($C18,Lookups!$D$55:$O$188,11,FALSE)))))</f>
        <v/>
      </c>
      <c r="F18" s="180" t="str">
        <f>IF(OR(ISBLANK($C18),ISBLANK($D18),ISBLANK($E$10),ISBLANK($E$11)),"",IFERROR($D18*VLOOKUP((IF(OR($C18="Residential urban land",$C18="Commercial/industrial urban land",$C18="Open urban land",$C18="Greenspace",$C18="Community food growing",$C18="Woodland",$C18="Shrub", $C18="Water"), "|||"&amp;$C18, (VLOOKUP('Stage 2'!$E$9,Lookups!$C$226:$D$226,2,FALSE)&amp;"|"&amp;$C18&amp;"|"&amp;VLOOKUP('Stage 2'!$E$12,Lookups!$C$240:$D$241,2,FALSE)&amp;"|"&amp;VLOOKUP('Stage 2'!$E$11,Lookups!$C$200:$E$222,3,FALSE)&amp;"|"&amp;VLOOKUP($E$10,Lookups!$C$231:$D$236,2,FALSE)))),Lookups!$H$55:$J$196,3,FALSE),
IFERROR(IFERROR($D18*VLOOKUP($C18&amp;"|"&amp;VLOOKUP('Stage 2'!$E$12,Lookups!$C$240:$D$241,2,FALSE)&amp;"|"&amp;VLOOKUP('Stage 2'!$E$11,Lookups!$C$200:$E$222,3,FALSE)&amp;"|"&amp;VLOOKUP($E$10,Lookups!$C$231:$D$236,2,FALSE),Lookups!$H$55:$J$196,3,FALSE),IFERROR($D18*VLOOKUP($C18&amp;"|"&amp;"TRUE"&amp;"|"&amp;VLOOKUP('Stage 2'!$E$11,Lookups!$C$200:$E$222,3,FALSE)&amp;"|"&amp;VLOOKUP($E$10,Lookups!$C$231:$D$236,2,FALSE),Lookups!$H$55:$J$196,3,FALSE),$D18*VLOOKUP($C18&amp;"|"&amp;VLOOKUP('Stage 2'!$E$12,Lookups!$C$240:$D$241,2,FALSE)&amp;"|"&amp;VLOOKUP('Stage 2'!$E$11,Lookups!$C$200:$E$222,3,FALSE)&amp;"|"&amp;"DrainedArGr",Lookups!$H$55:$J$196,3,FALSE))),IFERROR($D18*VLOOKUP($C18&amp;"|"&amp;VLOOKUP('Stage 2'!$E$11,Lookups!$C$200:$E$222,3,FALSE),Lookups!$K$55:$M$188,3,FALSE),$D18*VLOOKUP($C18,Lookups!$D$55:$O$188,12,FALSE)))))</f>
        <v/>
      </c>
      <c r="G18" s="159"/>
      <c r="H18" s="160"/>
      <c r="I18" s="160"/>
      <c r="J18" s="160"/>
    </row>
    <row r="19" spans="1:10" x14ac:dyDescent="0.35">
      <c r="A19" s="136"/>
      <c r="B19" s="1"/>
      <c r="C19" s="110"/>
      <c r="D19" s="226"/>
      <c r="E19" s="180" t="str">
        <f>IF(OR(ISBLANK($C19),ISBLANK($D19),ISBLANK($E$10),ISBLANK($E$11)),"",IFERROR($D19*VLOOKUP((IF(OR($C19="Residential urban land",$C19="Commercial/industrial urban land",$C19="Open urban land",$C19="Greenspace",$C19="Community food growing",$C19="Woodland",$C19="Shrub", $C19="Water"), "|||"&amp;$C19, (VLOOKUP('Stage 2'!$E$9,Lookups!$C$226:$D$226,2,FALSE)&amp;"|"&amp;$C19&amp;"|"&amp;VLOOKUP('Stage 2'!$E$12,Lookups!$C$240:$D$241,2,FALSE)&amp;"|"&amp;VLOOKUP('Stage 2'!$E$11,Lookups!$C$200:$E$222,3,FALSE)&amp;"|"&amp;VLOOKUP($E$10,Lookups!$C$231:$D$236,2,FALSE)))),Lookups!$H$55:$J$196,2,FALSE),
IFERROR(IFERROR($D19*VLOOKUP($C19&amp;"|"&amp;VLOOKUP('Stage 2'!$E$12,Lookups!$C$240:$D$241,2,FALSE)&amp;"|"&amp;VLOOKUP('Stage 2'!$E$11,Lookups!$C$200:$E$222,3,FALSE)&amp;"|"&amp;VLOOKUP($E$10,Lookups!$C$231:$D$236,2,FALSE),Lookups!$H$55:$J$196,2,FALSE),IFERROR($D19*VLOOKUP($C19&amp;"|"&amp;"TRUE"&amp;"|"&amp;VLOOKUP('Stage 2'!$E$11,Lookups!$C$200:$E$222,3,FALSE)&amp;"|"&amp;VLOOKUP($E$10,Lookups!$C$231:$D$236,2,FALSE),Lookups!$H$55:$J$196,2,FALSE),$D19*VLOOKUP($C19&amp;"|"&amp;VLOOKUP('Stage 2'!$E$12,Lookups!$C$240:$D$241,2,FALSE)&amp;"|"&amp;VLOOKUP('Stage 2'!$E$11,Lookups!$C$200:$E$222,3,FALSE)&amp;"|"&amp;"DrainedArGr",Lookups!$H$55:$J$196,2,FALSE))),IFERROR($D19*VLOOKUP($C19&amp;"|"&amp;VLOOKUP('Stage 2'!$E$11,Lookups!$C$200:$E$222,3,FALSE),Lookups!$K$55:$M$188,2,FALSE),$D19*VLOOKUP($C19,Lookups!$D$55:$O$188,11,FALSE)))))</f>
        <v/>
      </c>
      <c r="F19" s="180" t="str">
        <f>IF(OR(ISBLANK($C19),ISBLANK($D19),ISBLANK($E$10),ISBLANK($E$11)),"",IFERROR($D19*VLOOKUP((IF(OR($C19="Residential urban land",$C19="Commercial/industrial urban land",$C19="Open urban land",$C19="Greenspace",$C19="Community food growing",$C19="Woodland",$C19="Shrub", $C19="Water"), "|||"&amp;$C19, (VLOOKUP('Stage 2'!$E$9,Lookups!$C$226:$D$226,2,FALSE)&amp;"|"&amp;$C19&amp;"|"&amp;VLOOKUP('Stage 2'!$E$12,Lookups!$C$240:$D$241,2,FALSE)&amp;"|"&amp;VLOOKUP('Stage 2'!$E$11,Lookups!$C$200:$E$222,3,FALSE)&amp;"|"&amp;VLOOKUP($E$10,Lookups!$C$231:$D$236,2,FALSE)))),Lookups!$H$55:$J$196,3,FALSE),
IFERROR(IFERROR($D19*VLOOKUP($C19&amp;"|"&amp;VLOOKUP('Stage 2'!$E$12,Lookups!$C$240:$D$241,2,FALSE)&amp;"|"&amp;VLOOKUP('Stage 2'!$E$11,Lookups!$C$200:$E$222,3,FALSE)&amp;"|"&amp;VLOOKUP($E$10,Lookups!$C$231:$D$236,2,FALSE),Lookups!$H$55:$J$196,3,FALSE),IFERROR($D19*VLOOKUP($C19&amp;"|"&amp;"TRUE"&amp;"|"&amp;VLOOKUP('Stage 2'!$E$11,Lookups!$C$200:$E$222,3,FALSE)&amp;"|"&amp;VLOOKUP($E$10,Lookups!$C$231:$D$236,2,FALSE),Lookups!$H$55:$J$196,3,FALSE),$D19*VLOOKUP($C19&amp;"|"&amp;VLOOKUP('Stage 2'!$E$12,Lookups!$C$240:$D$241,2,FALSE)&amp;"|"&amp;VLOOKUP('Stage 2'!$E$11,Lookups!$C$200:$E$222,3,FALSE)&amp;"|"&amp;"DrainedArGr",Lookups!$H$55:$J$196,3,FALSE))),IFERROR($D19*VLOOKUP($C19&amp;"|"&amp;VLOOKUP('Stage 2'!$E$11,Lookups!$C$200:$E$222,3,FALSE),Lookups!$K$55:$M$188,3,FALSE),$D19*VLOOKUP($C19,Lookups!$D$55:$O$188,12,FALSE)))))</f>
        <v/>
      </c>
      <c r="G19" s="159"/>
      <c r="H19" s="160"/>
      <c r="I19" s="160"/>
      <c r="J19" s="160"/>
    </row>
    <row r="20" spans="1:10" x14ac:dyDescent="0.35">
      <c r="A20" s="136"/>
      <c r="B20" s="1"/>
      <c r="C20" s="110"/>
      <c r="D20" s="226"/>
      <c r="E20" s="180" t="str">
        <f>IF(OR(ISBLANK($C20),ISBLANK($D20),ISBLANK($E$10),ISBLANK($E$11)),"",IFERROR($D20*VLOOKUP((IF(OR($C20="Residential urban land",$C20="Commercial/industrial urban land",$C20="Open urban land",$C20="Greenspace",$C20="Community food growing",$C20="Woodland",$C20="Shrub", $C20="Water"), "|||"&amp;$C20, (VLOOKUP('Stage 2'!$E$9,Lookups!$C$226:$D$226,2,FALSE)&amp;"|"&amp;$C20&amp;"|"&amp;VLOOKUP('Stage 2'!$E$12,Lookups!$C$240:$D$241,2,FALSE)&amp;"|"&amp;VLOOKUP('Stage 2'!$E$11,Lookups!$C$200:$E$222,3,FALSE)&amp;"|"&amp;VLOOKUP($E$10,Lookups!$C$231:$D$236,2,FALSE)))),Lookups!$H$55:$J$196,2,FALSE),
IFERROR(IFERROR($D20*VLOOKUP($C20&amp;"|"&amp;VLOOKUP('Stage 2'!$E$12,Lookups!$C$240:$D$241,2,FALSE)&amp;"|"&amp;VLOOKUP('Stage 2'!$E$11,Lookups!$C$200:$E$222,3,FALSE)&amp;"|"&amp;VLOOKUP($E$10,Lookups!$C$231:$D$236,2,FALSE),Lookups!$H$55:$J$196,2,FALSE),IFERROR($D20*VLOOKUP($C20&amp;"|"&amp;"TRUE"&amp;"|"&amp;VLOOKUP('Stage 2'!$E$11,Lookups!$C$200:$E$222,3,FALSE)&amp;"|"&amp;VLOOKUP($E$10,Lookups!$C$231:$D$236,2,FALSE),Lookups!$H$55:$J$196,2,FALSE),$D20*VLOOKUP($C20&amp;"|"&amp;VLOOKUP('Stage 2'!$E$12,Lookups!$C$240:$D$241,2,FALSE)&amp;"|"&amp;VLOOKUP('Stage 2'!$E$11,Lookups!$C$200:$E$222,3,FALSE)&amp;"|"&amp;"DrainedArGr",Lookups!$H$55:$J$196,2,FALSE))),IFERROR($D20*VLOOKUP($C20&amp;"|"&amp;VLOOKUP('Stage 2'!$E$11,Lookups!$C$200:$E$222,3,FALSE),Lookups!$K$55:$M$188,2,FALSE),$D20*VLOOKUP($C20,Lookups!$D$55:$O$188,11,FALSE)))))</f>
        <v/>
      </c>
      <c r="F20" s="180" t="str">
        <f>IF(OR(ISBLANK($C20),ISBLANK($D20),ISBLANK($E$10),ISBLANK($E$11)),"",IFERROR($D20*VLOOKUP((IF(OR($C20="Residential urban land",$C20="Commercial/industrial urban land",$C20="Open urban land",$C20="Greenspace",$C20="Community food growing",$C20="Woodland",$C20="Shrub", $C20="Water"), "|||"&amp;$C20, (VLOOKUP('Stage 2'!$E$9,Lookups!$C$226:$D$226,2,FALSE)&amp;"|"&amp;$C20&amp;"|"&amp;VLOOKUP('Stage 2'!$E$12,Lookups!$C$240:$D$241,2,FALSE)&amp;"|"&amp;VLOOKUP('Stage 2'!$E$11,Lookups!$C$200:$E$222,3,FALSE)&amp;"|"&amp;VLOOKUP($E$10,Lookups!$C$231:$D$236,2,FALSE)))),Lookups!$H$55:$J$196,3,FALSE),
IFERROR(IFERROR($D20*VLOOKUP($C20&amp;"|"&amp;VLOOKUP('Stage 2'!$E$12,Lookups!$C$240:$D$241,2,FALSE)&amp;"|"&amp;VLOOKUP('Stage 2'!$E$11,Lookups!$C$200:$E$222,3,FALSE)&amp;"|"&amp;VLOOKUP($E$10,Lookups!$C$231:$D$236,2,FALSE),Lookups!$H$55:$J$196,3,FALSE),IFERROR($D20*VLOOKUP($C20&amp;"|"&amp;"TRUE"&amp;"|"&amp;VLOOKUP('Stage 2'!$E$11,Lookups!$C$200:$E$222,3,FALSE)&amp;"|"&amp;VLOOKUP($E$10,Lookups!$C$231:$D$236,2,FALSE),Lookups!$H$55:$J$196,3,FALSE),$D20*VLOOKUP($C20&amp;"|"&amp;VLOOKUP('Stage 2'!$E$12,Lookups!$C$240:$D$241,2,FALSE)&amp;"|"&amp;VLOOKUP('Stage 2'!$E$11,Lookups!$C$200:$E$222,3,FALSE)&amp;"|"&amp;"DrainedArGr",Lookups!$H$55:$J$196,3,FALSE))),IFERROR($D20*VLOOKUP($C20&amp;"|"&amp;VLOOKUP('Stage 2'!$E$11,Lookups!$C$200:$E$222,3,FALSE),Lookups!$K$55:$M$188,3,FALSE),$D20*VLOOKUP($C20,Lookups!$D$55:$O$188,12,FALSE)))))</f>
        <v/>
      </c>
      <c r="G20" s="159"/>
      <c r="H20" s="160"/>
      <c r="I20" s="160"/>
      <c r="J20" s="160"/>
    </row>
    <row r="21" spans="1:10" x14ac:dyDescent="0.35">
      <c r="A21" s="136"/>
      <c r="B21" s="1"/>
      <c r="C21" s="110"/>
      <c r="D21" s="226"/>
      <c r="E21" s="180" t="str">
        <f>IF(OR(ISBLANK($C21),ISBLANK($D21),ISBLANK($E$10),ISBLANK($E$11)),"",IFERROR($D21*VLOOKUP((IF(OR($C21="Residential urban land",$C21="Commercial/industrial urban land",$C21="Open urban land",$C21="Greenspace",$C21="Community food growing",$C21="Woodland",$C21="Shrub", $C21="Water"), "|||"&amp;$C21, (VLOOKUP('Stage 2'!$E$9,Lookups!$C$226:$D$226,2,FALSE)&amp;"|"&amp;$C21&amp;"|"&amp;VLOOKUP('Stage 2'!$E$12,Lookups!$C$240:$D$241,2,FALSE)&amp;"|"&amp;VLOOKUP('Stage 2'!$E$11,Lookups!$C$200:$E$222,3,FALSE)&amp;"|"&amp;VLOOKUP($E$10,Lookups!$C$231:$D$236,2,FALSE)))),Lookups!$H$55:$J$196,2,FALSE),
IFERROR(IFERROR($D21*VLOOKUP($C21&amp;"|"&amp;VLOOKUP('Stage 2'!$E$12,Lookups!$C$240:$D$241,2,FALSE)&amp;"|"&amp;VLOOKUP('Stage 2'!$E$11,Lookups!$C$200:$E$222,3,FALSE)&amp;"|"&amp;VLOOKUP($E$10,Lookups!$C$231:$D$236,2,FALSE),Lookups!$H$55:$J$196,2,FALSE),IFERROR($D21*VLOOKUP($C21&amp;"|"&amp;"TRUE"&amp;"|"&amp;VLOOKUP('Stage 2'!$E$11,Lookups!$C$200:$E$222,3,FALSE)&amp;"|"&amp;VLOOKUP($E$10,Lookups!$C$231:$D$236,2,FALSE),Lookups!$H$55:$J$196,2,FALSE),$D21*VLOOKUP($C21&amp;"|"&amp;VLOOKUP('Stage 2'!$E$12,Lookups!$C$240:$D$241,2,FALSE)&amp;"|"&amp;VLOOKUP('Stage 2'!$E$11,Lookups!$C$200:$E$222,3,FALSE)&amp;"|"&amp;"DrainedArGr",Lookups!$H$55:$J$196,2,FALSE))),IFERROR($D21*VLOOKUP($C21&amp;"|"&amp;VLOOKUP('Stage 2'!$E$11,Lookups!$C$200:$E$222,3,FALSE),Lookups!$K$55:$M$188,2,FALSE),$D21*VLOOKUP($C21,Lookups!$D$55:$O$188,11,FALSE)))))</f>
        <v/>
      </c>
      <c r="F21" s="180" t="str">
        <f>IF(OR(ISBLANK($C21),ISBLANK($D21),ISBLANK($E$10),ISBLANK($E$11)),"",IFERROR($D21*VLOOKUP((IF(OR($C21="Residential urban land",$C21="Commercial/industrial urban land",$C21="Open urban land",$C21="Greenspace",$C21="Community food growing",$C21="Woodland",$C21="Shrub", $C21="Water"), "|||"&amp;$C21, (VLOOKUP('Stage 2'!$E$9,Lookups!$C$226:$D$226,2,FALSE)&amp;"|"&amp;$C21&amp;"|"&amp;VLOOKUP('Stage 2'!$E$12,Lookups!$C$240:$D$241,2,FALSE)&amp;"|"&amp;VLOOKUP('Stage 2'!$E$11,Lookups!$C$200:$E$222,3,FALSE)&amp;"|"&amp;VLOOKUP($E$10,Lookups!$C$231:$D$236,2,FALSE)))),Lookups!$H$55:$J$196,3,FALSE),
IFERROR(IFERROR($D21*VLOOKUP($C21&amp;"|"&amp;VLOOKUP('Stage 2'!$E$12,Lookups!$C$240:$D$241,2,FALSE)&amp;"|"&amp;VLOOKUP('Stage 2'!$E$11,Lookups!$C$200:$E$222,3,FALSE)&amp;"|"&amp;VLOOKUP($E$10,Lookups!$C$231:$D$236,2,FALSE),Lookups!$H$55:$J$196,3,FALSE),IFERROR($D21*VLOOKUP($C21&amp;"|"&amp;"TRUE"&amp;"|"&amp;VLOOKUP('Stage 2'!$E$11,Lookups!$C$200:$E$222,3,FALSE)&amp;"|"&amp;VLOOKUP($E$10,Lookups!$C$231:$D$236,2,FALSE),Lookups!$H$55:$J$196,3,FALSE),$D21*VLOOKUP($C21&amp;"|"&amp;VLOOKUP('Stage 2'!$E$12,Lookups!$C$240:$D$241,2,FALSE)&amp;"|"&amp;VLOOKUP('Stage 2'!$E$11,Lookups!$C$200:$E$222,3,FALSE)&amp;"|"&amp;"DrainedArGr",Lookups!$H$55:$J$196,3,FALSE))),IFERROR($D21*VLOOKUP($C21&amp;"|"&amp;VLOOKUP('Stage 2'!$E$11,Lookups!$C$200:$E$222,3,FALSE),Lookups!$K$55:$M$188,3,FALSE),$D21*VLOOKUP($C21,Lookups!$D$55:$O$188,12,FALSE)))))</f>
        <v/>
      </c>
      <c r="G21" s="153"/>
    </row>
    <row r="22" spans="1:10" x14ac:dyDescent="0.35">
      <c r="A22" s="136"/>
      <c r="B22" s="1"/>
      <c r="C22" s="110"/>
      <c r="D22" s="226"/>
      <c r="E22" s="180" t="str">
        <f>IF(OR(ISBLANK($C22),ISBLANK($D22),ISBLANK($E$10),ISBLANK($E$11)),"",IFERROR($D22*VLOOKUP((IF(OR($C22="Residential urban land",$C22="Commercial/industrial urban land",$C22="Open urban land",$C22="Greenspace",$C22="Community food growing",$C22="Woodland",$C22="Shrub", $C22="Water"), "|||"&amp;$C22, (VLOOKUP('Stage 2'!$E$9,Lookups!$C$226:$D$226,2,FALSE)&amp;"|"&amp;$C22&amp;"|"&amp;VLOOKUP('Stage 2'!$E$12,Lookups!$C$240:$D$241,2,FALSE)&amp;"|"&amp;VLOOKUP('Stage 2'!$E$11,Lookups!$C$200:$E$222,3,FALSE)&amp;"|"&amp;VLOOKUP($E$10,Lookups!$C$231:$D$236,2,FALSE)))),Lookups!$H$55:$J$196,2,FALSE),
IFERROR(IFERROR($D22*VLOOKUP($C22&amp;"|"&amp;VLOOKUP('Stage 2'!$E$12,Lookups!$C$240:$D$241,2,FALSE)&amp;"|"&amp;VLOOKUP('Stage 2'!$E$11,Lookups!$C$200:$E$222,3,FALSE)&amp;"|"&amp;VLOOKUP($E$10,Lookups!$C$231:$D$236,2,FALSE),Lookups!$H$55:$J$196,2,FALSE),IFERROR($D22*VLOOKUP($C22&amp;"|"&amp;"TRUE"&amp;"|"&amp;VLOOKUP('Stage 2'!$E$11,Lookups!$C$200:$E$222,3,FALSE)&amp;"|"&amp;VLOOKUP($E$10,Lookups!$C$231:$D$236,2,FALSE),Lookups!$H$55:$J$196,2,FALSE),$D22*VLOOKUP($C22&amp;"|"&amp;VLOOKUP('Stage 2'!$E$12,Lookups!$C$240:$D$241,2,FALSE)&amp;"|"&amp;VLOOKUP('Stage 2'!$E$11,Lookups!$C$200:$E$222,3,FALSE)&amp;"|"&amp;"DrainedArGr",Lookups!$H$55:$J$196,2,FALSE))),IFERROR($D22*VLOOKUP($C22&amp;"|"&amp;VLOOKUP('Stage 2'!$E$11,Lookups!$C$200:$E$222,3,FALSE),Lookups!$K$55:$M$188,2,FALSE),$D22*VLOOKUP($C22,Lookups!$D$55:$O$188,11,FALSE)))))</f>
        <v/>
      </c>
      <c r="F22" s="180" t="str">
        <f>IF(OR(ISBLANK($C22),ISBLANK($D22),ISBLANK($E$10),ISBLANK($E$11)),"",IFERROR($D22*VLOOKUP((IF(OR($C22="Residential urban land",$C22="Commercial/industrial urban land",$C22="Open urban land",$C22="Greenspace",$C22="Community food growing",$C22="Woodland",$C22="Shrub", $C22="Water"), "|||"&amp;$C22, (VLOOKUP('Stage 2'!$E$9,Lookups!$C$226:$D$226,2,FALSE)&amp;"|"&amp;$C22&amp;"|"&amp;VLOOKUP('Stage 2'!$E$12,Lookups!$C$240:$D$241,2,FALSE)&amp;"|"&amp;VLOOKUP('Stage 2'!$E$11,Lookups!$C$200:$E$222,3,FALSE)&amp;"|"&amp;VLOOKUP($E$10,Lookups!$C$231:$D$236,2,FALSE)))),Lookups!$H$55:$J$196,3,FALSE),
IFERROR(IFERROR($D22*VLOOKUP($C22&amp;"|"&amp;VLOOKUP('Stage 2'!$E$12,Lookups!$C$240:$D$241,2,FALSE)&amp;"|"&amp;VLOOKUP('Stage 2'!$E$11,Lookups!$C$200:$E$222,3,FALSE)&amp;"|"&amp;VLOOKUP($E$10,Lookups!$C$231:$D$236,2,FALSE),Lookups!$H$55:$J$196,3,FALSE),IFERROR($D22*VLOOKUP($C22&amp;"|"&amp;"TRUE"&amp;"|"&amp;VLOOKUP('Stage 2'!$E$11,Lookups!$C$200:$E$222,3,FALSE)&amp;"|"&amp;VLOOKUP($E$10,Lookups!$C$231:$D$236,2,FALSE),Lookups!$H$55:$J$196,3,FALSE),$D22*VLOOKUP($C22&amp;"|"&amp;VLOOKUP('Stage 2'!$E$12,Lookups!$C$240:$D$241,2,FALSE)&amp;"|"&amp;VLOOKUP('Stage 2'!$E$11,Lookups!$C$200:$E$222,3,FALSE)&amp;"|"&amp;"DrainedArGr",Lookups!$H$55:$J$196,3,FALSE))),IFERROR($D22*VLOOKUP($C22&amp;"|"&amp;VLOOKUP('Stage 2'!$E$11,Lookups!$C$200:$E$222,3,FALSE),Lookups!$K$55:$M$188,3,FALSE),$D22*VLOOKUP($C22,Lookups!$D$55:$O$188,12,FALSE)))))</f>
        <v/>
      </c>
      <c r="G22" s="153"/>
    </row>
    <row r="23" spans="1:10" x14ac:dyDescent="0.35">
      <c r="A23" s="136"/>
      <c r="B23" s="1"/>
      <c r="C23" s="110"/>
      <c r="D23" s="226"/>
      <c r="E23" s="180" t="str">
        <f>IF(OR(ISBLANK($C23),ISBLANK($D23),ISBLANK($E$10),ISBLANK($E$11)),"",IFERROR($D23*VLOOKUP((IF(OR($C23="Residential urban land",$C23="Commercial/industrial urban land",$C23="Open urban land",$C23="Greenspace",$C23="Community food growing",$C23="Woodland",$C23="Shrub", $C23="Water"), "|||"&amp;$C23, (VLOOKUP('Stage 2'!$E$9,Lookups!$C$226:$D$226,2,FALSE)&amp;"|"&amp;$C23&amp;"|"&amp;VLOOKUP('Stage 2'!$E$12,Lookups!$C$240:$D$241,2,FALSE)&amp;"|"&amp;VLOOKUP('Stage 2'!$E$11,Lookups!$C$200:$E$222,3,FALSE)&amp;"|"&amp;VLOOKUP($E$10,Lookups!$C$231:$D$236,2,FALSE)))),Lookups!$H$55:$J$196,2,FALSE),
IFERROR(IFERROR($D23*VLOOKUP($C23&amp;"|"&amp;VLOOKUP('Stage 2'!$E$12,Lookups!$C$240:$D$241,2,FALSE)&amp;"|"&amp;VLOOKUP('Stage 2'!$E$11,Lookups!$C$200:$E$222,3,FALSE)&amp;"|"&amp;VLOOKUP($E$10,Lookups!$C$231:$D$236,2,FALSE),Lookups!$H$55:$J$196,2,FALSE),IFERROR($D23*VLOOKUP($C23&amp;"|"&amp;"TRUE"&amp;"|"&amp;VLOOKUP('Stage 2'!$E$11,Lookups!$C$200:$E$222,3,FALSE)&amp;"|"&amp;VLOOKUP($E$10,Lookups!$C$231:$D$236,2,FALSE),Lookups!$H$55:$J$196,2,FALSE),$D23*VLOOKUP($C23&amp;"|"&amp;VLOOKUP('Stage 2'!$E$12,Lookups!$C$240:$D$241,2,FALSE)&amp;"|"&amp;VLOOKUP('Stage 2'!$E$11,Lookups!$C$200:$E$222,3,FALSE)&amp;"|"&amp;"DrainedArGr",Lookups!$H$55:$J$196,2,FALSE))),IFERROR($D23*VLOOKUP($C23&amp;"|"&amp;VLOOKUP('Stage 2'!$E$11,Lookups!$C$200:$E$222,3,FALSE),Lookups!$K$55:$M$188,2,FALSE),$D23*VLOOKUP($C23,Lookups!$D$55:$O$188,11,FALSE)))))</f>
        <v/>
      </c>
      <c r="F23" s="180" t="str">
        <f>IF(OR(ISBLANK($C23),ISBLANK($D23),ISBLANK($E$10),ISBLANK($E$11)),"",IFERROR($D23*VLOOKUP((IF(OR($C23="Residential urban land",$C23="Commercial/industrial urban land",$C23="Open urban land",$C23="Greenspace",$C23="Community food growing",$C23="Woodland",$C23="Shrub", $C23="Water"), "|||"&amp;$C23, (VLOOKUP('Stage 2'!$E$9,Lookups!$C$226:$D$226,2,FALSE)&amp;"|"&amp;$C23&amp;"|"&amp;VLOOKUP('Stage 2'!$E$12,Lookups!$C$240:$D$241,2,FALSE)&amp;"|"&amp;VLOOKUP('Stage 2'!$E$11,Lookups!$C$200:$E$222,3,FALSE)&amp;"|"&amp;VLOOKUP($E$10,Lookups!$C$231:$D$236,2,FALSE)))),Lookups!$H$55:$J$196,3,FALSE),
IFERROR(IFERROR($D23*VLOOKUP($C23&amp;"|"&amp;VLOOKUP('Stage 2'!$E$12,Lookups!$C$240:$D$241,2,FALSE)&amp;"|"&amp;VLOOKUP('Stage 2'!$E$11,Lookups!$C$200:$E$222,3,FALSE)&amp;"|"&amp;VLOOKUP($E$10,Lookups!$C$231:$D$236,2,FALSE),Lookups!$H$55:$J$196,3,FALSE),IFERROR($D23*VLOOKUP($C23&amp;"|"&amp;"TRUE"&amp;"|"&amp;VLOOKUP('Stage 2'!$E$11,Lookups!$C$200:$E$222,3,FALSE)&amp;"|"&amp;VLOOKUP($E$10,Lookups!$C$231:$D$236,2,FALSE),Lookups!$H$55:$J$196,3,FALSE),$D23*VLOOKUP($C23&amp;"|"&amp;VLOOKUP('Stage 2'!$E$12,Lookups!$C$240:$D$241,2,FALSE)&amp;"|"&amp;VLOOKUP('Stage 2'!$E$11,Lookups!$C$200:$E$222,3,FALSE)&amp;"|"&amp;"DrainedArGr",Lookups!$H$55:$J$196,3,FALSE))),IFERROR($D23*VLOOKUP($C23&amp;"|"&amp;VLOOKUP('Stage 2'!$E$11,Lookups!$C$200:$E$222,3,FALSE),Lookups!$K$55:$M$188,3,FALSE),$D23*VLOOKUP($C23,Lookups!$D$55:$O$188,12,FALSE)))))</f>
        <v/>
      </c>
      <c r="G23" s="153"/>
    </row>
    <row r="24" spans="1:10" x14ac:dyDescent="0.35">
      <c r="A24" s="136"/>
      <c r="B24" s="1"/>
      <c r="C24" s="110"/>
      <c r="D24" s="226"/>
      <c r="E24" s="180" t="str">
        <f>IF(OR(ISBLANK($C24),ISBLANK($D24),ISBLANK($E$10),ISBLANK($E$11)),"",IFERROR($D24*VLOOKUP((IF(OR($C24="Residential urban land",$C24="Commercial/industrial urban land",$C24="Open urban land",$C24="Greenspace",$C24="Community food growing",$C24="Woodland",$C24="Shrub", $C24="Water"), "|||"&amp;$C24, (VLOOKUP('Stage 2'!$E$9,Lookups!$C$226:$D$226,2,FALSE)&amp;"|"&amp;$C24&amp;"|"&amp;VLOOKUP('Stage 2'!$E$12,Lookups!$C$240:$D$241,2,FALSE)&amp;"|"&amp;VLOOKUP('Stage 2'!$E$11,Lookups!$C$200:$E$222,3,FALSE)&amp;"|"&amp;VLOOKUP($E$10,Lookups!$C$231:$D$236,2,FALSE)))),Lookups!$H$55:$J$196,2,FALSE),
IFERROR(IFERROR($D24*VLOOKUP($C24&amp;"|"&amp;VLOOKUP('Stage 2'!$E$12,Lookups!$C$240:$D$241,2,FALSE)&amp;"|"&amp;VLOOKUP('Stage 2'!$E$11,Lookups!$C$200:$E$222,3,FALSE)&amp;"|"&amp;VLOOKUP($E$10,Lookups!$C$231:$D$236,2,FALSE),Lookups!$H$55:$J$196,2,FALSE),IFERROR($D24*VLOOKUP($C24&amp;"|"&amp;"TRUE"&amp;"|"&amp;VLOOKUP('Stage 2'!$E$11,Lookups!$C$200:$E$222,3,FALSE)&amp;"|"&amp;VLOOKUP($E$10,Lookups!$C$231:$D$236,2,FALSE),Lookups!$H$55:$J$196,2,FALSE),$D24*VLOOKUP($C24&amp;"|"&amp;VLOOKUP('Stage 2'!$E$12,Lookups!$C$240:$D$241,2,FALSE)&amp;"|"&amp;VLOOKUP('Stage 2'!$E$11,Lookups!$C$200:$E$222,3,FALSE)&amp;"|"&amp;"DrainedArGr",Lookups!$H$55:$J$196,2,FALSE))),IFERROR($D24*VLOOKUP($C24&amp;"|"&amp;VLOOKUP('Stage 2'!$E$11,Lookups!$C$200:$E$222,3,FALSE),Lookups!$K$55:$M$188,2,FALSE),$D24*VLOOKUP($C24,Lookups!$D$55:$O$188,11,FALSE)))))</f>
        <v/>
      </c>
      <c r="F24" s="180" t="str">
        <f>IF(OR(ISBLANK($C24),ISBLANK($D24),ISBLANK($E$10),ISBLANK($E$11)),"",IFERROR($D24*VLOOKUP((IF(OR($C24="Residential urban land",$C24="Commercial/industrial urban land",$C24="Open urban land",$C24="Greenspace",$C24="Community food growing",$C24="Woodland",$C24="Shrub", $C24="Water"), "|||"&amp;$C24, (VLOOKUP('Stage 2'!$E$9,Lookups!$C$226:$D$226,2,FALSE)&amp;"|"&amp;$C24&amp;"|"&amp;VLOOKUP('Stage 2'!$E$12,Lookups!$C$240:$D$241,2,FALSE)&amp;"|"&amp;VLOOKUP('Stage 2'!$E$11,Lookups!$C$200:$E$222,3,FALSE)&amp;"|"&amp;VLOOKUP($E$10,Lookups!$C$231:$D$236,2,FALSE)))),Lookups!$H$55:$J$196,3,FALSE),
IFERROR(IFERROR($D24*VLOOKUP($C24&amp;"|"&amp;VLOOKUP('Stage 2'!$E$12,Lookups!$C$240:$D$241,2,FALSE)&amp;"|"&amp;VLOOKUP('Stage 2'!$E$11,Lookups!$C$200:$E$222,3,FALSE)&amp;"|"&amp;VLOOKUP($E$10,Lookups!$C$231:$D$236,2,FALSE),Lookups!$H$55:$J$196,3,FALSE),IFERROR($D24*VLOOKUP($C24&amp;"|"&amp;"TRUE"&amp;"|"&amp;VLOOKUP('Stage 2'!$E$11,Lookups!$C$200:$E$222,3,FALSE)&amp;"|"&amp;VLOOKUP($E$10,Lookups!$C$231:$D$236,2,FALSE),Lookups!$H$55:$J$196,3,FALSE),$D24*VLOOKUP($C24&amp;"|"&amp;VLOOKUP('Stage 2'!$E$12,Lookups!$C$240:$D$241,2,FALSE)&amp;"|"&amp;VLOOKUP('Stage 2'!$E$11,Lookups!$C$200:$E$222,3,FALSE)&amp;"|"&amp;"DrainedArGr",Lookups!$H$55:$J$196,3,FALSE))),IFERROR($D24*VLOOKUP($C24&amp;"|"&amp;VLOOKUP('Stage 2'!$E$11,Lookups!$C$200:$E$222,3,FALSE),Lookups!$K$55:$M$188,3,FALSE),$D24*VLOOKUP($C24,Lookups!$D$55:$O$188,12,FALSE)))))</f>
        <v/>
      </c>
      <c r="G24" s="153"/>
    </row>
    <row r="25" spans="1:10" x14ac:dyDescent="0.35">
      <c r="A25" s="136"/>
      <c r="B25" s="1"/>
      <c r="C25" s="110"/>
      <c r="D25" s="226"/>
      <c r="E25" s="180" t="str">
        <f>IF(OR(ISBLANK($C25),ISBLANK($D25),ISBLANK($E$10),ISBLANK($E$11)),"",IFERROR($D25*VLOOKUP((IF(OR($C25="Residential urban land",$C25="Commercial/industrial urban land",$C25="Open urban land",$C25="Greenspace",$C25="Community food growing",$C25="Woodland",$C25="Shrub", $C25="Water"), "|||"&amp;$C25, (VLOOKUP('Stage 2'!$E$9,Lookups!$C$226:$D$226,2,FALSE)&amp;"|"&amp;$C25&amp;"|"&amp;VLOOKUP('Stage 2'!$E$12,Lookups!$C$240:$D$241,2,FALSE)&amp;"|"&amp;VLOOKUP('Stage 2'!$E$11,Lookups!$C$200:$E$222,3,FALSE)&amp;"|"&amp;VLOOKUP($E$10,Lookups!$C$231:$D$236,2,FALSE)))),Lookups!$H$55:$J$196,2,FALSE),
IFERROR(IFERROR($D25*VLOOKUP($C25&amp;"|"&amp;VLOOKUP('Stage 2'!$E$12,Lookups!$C$240:$D$241,2,FALSE)&amp;"|"&amp;VLOOKUP('Stage 2'!$E$11,Lookups!$C$200:$E$222,3,FALSE)&amp;"|"&amp;VLOOKUP($E$10,Lookups!$C$231:$D$236,2,FALSE),Lookups!$H$55:$J$196,2,FALSE),IFERROR($D25*VLOOKUP($C25&amp;"|"&amp;"TRUE"&amp;"|"&amp;VLOOKUP('Stage 2'!$E$11,Lookups!$C$200:$E$222,3,FALSE)&amp;"|"&amp;VLOOKUP($E$10,Lookups!$C$231:$D$236,2,FALSE),Lookups!$H$55:$J$196,2,FALSE),$D25*VLOOKUP($C25&amp;"|"&amp;VLOOKUP('Stage 2'!$E$12,Lookups!$C$240:$D$241,2,FALSE)&amp;"|"&amp;VLOOKUP('Stage 2'!$E$11,Lookups!$C$200:$E$222,3,FALSE)&amp;"|"&amp;"DrainedArGr",Lookups!$H$55:$J$196,2,FALSE))),IFERROR($D25*VLOOKUP($C25&amp;"|"&amp;VLOOKUP('Stage 2'!$E$11,Lookups!$C$200:$E$222,3,FALSE),Lookups!$K$55:$M$188,2,FALSE),$D25*VLOOKUP($C25,Lookups!$D$55:$O$188,11,FALSE)))))</f>
        <v/>
      </c>
      <c r="F25" s="180" t="str">
        <f>IF(OR(ISBLANK($C25),ISBLANK($D25),ISBLANK($E$10),ISBLANK($E$11)),"",IFERROR($D25*VLOOKUP((IF(OR($C25="Residential urban land",$C25="Commercial/industrial urban land",$C25="Open urban land",$C25="Greenspace",$C25="Community food growing",$C25="Woodland",$C25="Shrub", $C25="Water"), "|||"&amp;$C25, (VLOOKUP('Stage 2'!$E$9,Lookups!$C$226:$D$226,2,FALSE)&amp;"|"&amp;$C25&amp;"|"&amp;VLOOKUP('Stage 2'!$E$12,Lookups!$C$240:$D$241,2,FALSE)&amp;"|"&amp;VLOOKUP('Stage 2'!$E$11,Lookups!$C$200:$E$222,3,FALSE)&amp;"|"&amp;VLOOKUP($E$10,Lookups!$C$231:$D$236,2,FALSE)))),Lookups!$H$55:$J$196,3,FALSE),
IFERROR(IFERROR($D25*VLOOKUP($C25&amp;"|"&amp;VLOOKUP('Stage 2'!$E$12,Lookups!$C$240:$D$241,2,FALSE)&amp;"|"&amp;VLOOKUP('Stage 2'!$E$11,Lookups!$C$200:$E$222,3,FALSE)&amp;"|"&amp;VLOOKUP($E$10,Lookups!$C$231:$D$236,2,FALSE),Lookups!$H$55:$J$196,3,FALSE),IFERROR($D25*VLOOKUP($C25&amp;"|"&amp;"TRUE"&amp;"|"&amp;VLOOKUP('Stage 2'!$E$11,Lookups!$C$200:$E$222,3,FALSE)&amp;"|"&amp;VLOOKUP($E$10,Lookups!$C$231:$D$236,2,FALSE),Lookups!$H$55:$J$196,3,FALSE),$D25*VLOOKUP($C25&amp;"|"&amp;VLOOKUP('Stage 2'!$E$12,Lookups!$C$240:$D$241,2,FALSE)&amp;"|"&amp;VLOOKUP('Stage 2'!$E$11,Lookups!$C$200:$E$222,3,FALSE)&amp;"|"&amp;"DrainedArGr",Lookups!$H$55:$J$196,3,FALSE))),IFERROR($D25*VLOOKUP($C25&amp;"|"&amp;VLOOKUP('Stage 2'!$E$11,Lookups!$C$200:$E$222,3,FALSE),Lookups!$K$55:$M$188,3,FALSE),$D25*VLOOKUP($C25,Lookups!$D$55:$O$188,12,FALSE)))))</f>
        <v/>
      </c>
      <c r="G25" s="153"/>
    </row>
    <row r="26" spans="1:10" x14ac:dyDescent="0.35">
      <c r="A26" s="136"/>
      <c r="B26" s="1"/>
      <c r="C26" s="110"/>
      <c r="D26" s="226"/>
      <c r="E26" s="180" t="str">
        <f>IF(OR(ISBLANK($C26),ISBLANK($D26),ISBLANK($E$10),ISBLANK($E$11)),"",IFERROR($D26*VLOOKUP((IF(OR($C26="Residential urban land",$C26="Commercial/industrial urban land",$C26="Open urban land",$C26="Greenspace",$C26="Community food growing",$C26="Woodland",$C26="Shrub", $C26="Water"), "|||"&amp;$C26, (VLOOKUP('Stage 2'!$E$9,Lookups!$C$226:$D$226,2,FALSE)&amp;"|"&amp;$C26&amp;"|"&amp;VLOOKUP('Stage 2'!$E$12,Lookups!$C$240:$D$241,2,FALSE)&amp;"|"&amp;VLOOKUP('Stage 2'!$E$11,Lookups!$C$200:$E$222,3,FALSE)&amp;"|"&amp;VLOOKUP($E$10,Lookups!$C$231:$D$236,2,FALSE)))),Lookups!$H$55:$J$196,2,FALSE),
IFERROR(IFERROR($D26*VLOOKUP($C26&amp;"|"&amp;VLOOKUP('Stage 2'!$E$12,Lookups!$C$240:$D$241,2,FALSE)&amp;"|"&amp;VLOOKUP('Stage 2'!$E$11,Lookups!$C$200:$E$222,3,FALSE)&amp;"|"&amp;VLOOKUP($E$10,Lookups!$C$231:$D$236,2,FALSE),Lookups!$H$55:$J$196,2,FALSE),IFERROR($D26*VLOOKUP($C26&amp;"|"&amp;"TRUE"&amp;"|"&amp;VLOOKUP('Stage 2'!$E$11,Lookups!$C$200:$E$222,3,FALSE)&amp;"|"&amp;VLOOKUP($E$10,Lookups!$C$231:$D$236,2,FALSE),Lookups!$H$55:$J$196,2,FALSE),$D26*VLOOKUP($C26&amp;"|"&amp;VLOOKUP('Stage 2'!$E$12,Lookups!$C$240:$D$241,2,FALSE)&amp;"|"&amp;VLOOKUP('Stage 2'!$E$11,Lookups!$C$200:$E$222,3,FALSE)&amp;"|"&amp;"DrainedArGr",Lookups!$H$55:$J$196,2,FALSE))),IFERROR($D26*VLOOKUP($C26&amp;"|"&amp;VLOOKUP('Stage 2'!$E$11,Lookups!$C$200:$E$222,3,FALSE),Lookups!$K$55:$M$188,2,FALSE),$D26*VLOOKUP($C26,Lookups!$D$55:$O$188,11,FALSE)))))</f>
        <v/>
      </c>
      <c r="F26" s="180" t="str">
        <f>IF(OR(ISBLANK($C26),ISBLANK($D26),ISBLANK($E$10),ISBLANK($E$11)),"",IFERROR($D26*VLOOKUP((IF(OR($C26="Residential urban land",$C26="Commercial/industrial urban land",$C26="Open urban land",$C26="Greenspace",$C26="Community food growing",$C26="Woodland",$C26="Shrub", $C26="Water"), "|||"&amp;$C26, (VLOOKUP('Stage 2'!$E$9,Lookups!$C$226:$D$226,2,FALSE)&amp;"|"&amp;$C26&amp;"|"&amp;VLOOKUP('Stage 2'!$E$12,Lookups!$C$240:$D$241,2,FALSE)&amp;"|"&amp;VLOOKUP('Stage 2'!$E$11,Lookups!$C$200:$E$222,3,FALSE)&amp;"|"&amp;VLOOKUP($E$10,Lookups!$C$231:$D$236,2,FALSE)))),Lookups!$H$55:$J$196,3,FALSE),
IFERROR(IFERROR($D26*VLOOKUP($C26&amp;"|"&amp;VLOOKUP('Stage 2'!$E$12,Lookups!$C$240:$D$241,2,FALSE)&amp;"|"&amp;VLOOKUP('Stage 2'!$E$11,Lookups!$C$200:$E$222,3,FALSE)&amp;"|"&amp;VLOOKUP($E$10,Lookups!$C$231:$D$236,2,FALSE),Lookups!$H$55:$J$196,3,FALSE),IFERROR($D26*VLOOKUP($C26&amp;"|"&amp;"TRUE"&amp;"|"&amp;VLOOKUP('Stage 2'!$E$11,Lookups!$C$200:$E$222,3,FALSE)&amp;"|"&amp;VLOOKUP($E$10,Lookups!$C$231:$D$236,2,FALSE),Lookups!$H$55:$J$196,3,FALSE),$D26*VLOOKUP($C26&amp;"|"&amp;VLOOKUP('Stage 2'!$E$12,Lookups!$C$240:$D$241,2,FALSE)&amp;"|"&amp;VLOOKUP('Stage 2'!$E$11,Lookups!$C$200:$E$222,3,FALSE)&amp;"|"&amp;"DrainedArGr",Lookups!$H$55:$J$196,3,FALSE))),IFERROR($D26*VLOOKUP($C26&amp;"|"&amp;VLOOKUP('Stage 2'!$E$11,Lookups!$C$200:$E$222,3,FALSE),Lookups!$K$55:$M$188,3,FALSE),$D26*VLOOKUP($C26,Lookups!$D$55:$O$188,12,FALSE)))))</f>
        <v/>
      </c>
      <c r="G26" s="153"/>
    </row>
    <row r="27" spans="1:10" x14ac:dyDescent="0.35">
      <c r="A27" s="136"/>
      <c r="B27" s="1"/>
      <c r="C27" s="110"/>
      <c r="D27" s="226"/>
      <c r="E27" s="180" t="str">
        <f>IF(OR(ISBLANK($C27),ISBLANK($D27),ISBLANK($E$10),ISBLANK($E$11)),"",IFERROR($D27*VLOOKUP((IF(OR($C27="Residential urban land",$C27="Commercial/industrial urban land",$C27="Open urban land",$C27="Greenspace",$C27="Community food growing",$C27="Woodland",$C27="Shrub", $C27="Water"), "|||"&amp;$C27, (VLOOKUP('Stage 2'!$E$9,Lookups!$C$226:$D$226,2,FALSE)&amp;"|"&amp;$C27&amp;"|"&amp;VLOOKUP('Stage 2'!$E$12,Lookups!$C$240:$D$241,2,FALSE)&amp;"|"&amp;VLOOKUP('Stage 2'!$E$11,Lookups!$C$200:$E$222,3,FALSE)&amp;"|"&amp;VLOOKUP($E$10,Lookups!$C$231:$D$236,2,FALSE)))),Lookups!$H$55:$J$196,2,FALSE),
IFERROR(IFERROR($D27*VLOOKUP($C27&amp;"|"&amp;VLOOKUP('Stage 2'!$E$12,Lookups!$C$240:$D$241,2,FALSE)&amp;"|"&amp;VLOOKUP('Stage 2'!$E$11,Lookups!$C$200:$E$222,3,FALSE)&amp;"|"&amp;VLOOKUP($E$10,Lookups!$C$231:$D$236,2,FALSE),Lookups!$H$55:$J$196,2,FALSE),IFERROR($D27*VLOOKUP($C27&amp;"|"&amp;"TRUE"&amp;"|"&amp;VLOOKUP('Stage 2'!$E$11,Lookups!$C$200:$E$222,3,FALSE)&amp;"|"&amp;VLOOKUP($E$10,Lookups!$C$231:$D$236,2,FALSE),Lookups!$H$55:$J$196,2,FALSE),$D27*VLOOKUP($C27&amp;"|"&amp;VLOOKUP('Stage 2'!$E$12,Lookups!$C$240:$D$241,2,FALSE)&amp;"|"&amp;VLOOKUP('Stage 2'!$E$11,Lookups!$C$200:$E$222,3,FALSE)&amp;"|"&amp;"DrainedArGr",Lookups!$H$55:$J$196,2,FALSE))),IFERROR($D27*VLOOKUP($C27&amp;"|"&amp;VLOOKUP('Stage 2'!$E$11,Lookups!$C$200:$E$222,3,FALSE),Lookups!$K$55:$M$188,2,FALSE),$D27*VLOOKUP($C27,Lookups!$D$55:$O$188,11,FALSE)))))</f>
        <v/>
      </c>
      <c r="F27" s="180" t="str">
        <f>IF(OR(ISBLANK($C27),ISBLANK($D27),ISBLANK($E$10),ISBLANK($E$11)),"",IFERROR($D27*VLOOKUP((IF(OR($C27="Residential urban land",$C27="Commercial/industrial urban land",$C27="Open urban land",$C27="Greenspace",$C27="Community food growing",$C27="Woodland",$C27="Shrub", $C27="Water"), "|||"&amp;$C27, (VLOOKUP('Stage 2'!$E$9,Lookups!$C$226:$D$226,2,FALSE)&amp;"|"&amp;$C27&amp;"|"&amp;VLOOKUP('Stage 2'!$E$12,Lookups!$C$240:$D$241,2,FALSE)&amp;"|"&amp;VLOOKUP('Stage 2'!$E$11,Lookups!$C$200:$E$222,3,FALSE)&amp;"|"&amp;VLOOKUP($E$10,Lookups!$C$231:$D$236,2,FALSE)))),Lookups!$H$55:$J$196,3,FALSE),
IFERROR(IFERROR($D27*VLOOKUP($C27&amp;"|"&amp;VLOOKUP('Stage 2'!$E$12,Lookups!$C$240:$D$241,2,FALSE)&amp;"|"&amp;VLOOKUP('Stage 2'!$E$11,Lookups!$C$200:$E$222,3,FALSE)&amp;"|"&amp;VLOOKUP($E$10,Lookups!$C$231:$D$236,2,FALSE),Lookups!$H$55:$J$196,3,FALSE),IFERROR($D27*VLOOKUP($C27&amp;"|"&amp;"TRUE"&amp;"|"&amp;VLOOKUP('Stage 2'!$E$11,Lookups!$C$200:$E$222,3,FALSE)&amp;"|"&amp;VLOOKUP($E$10,Lookups!$C$231:$D$236,2,FALSE),Lookups!$H$55:$J$196,3,FALSE),$D27*VLOOKUP($C27&amp;"|"&amp;VLOOKUP('Stage 2'!$E$12,Lookups!$C$240:$D$241,2,FALSE)&amp;"|"&amp;VLOOKUP('Stage 2'!$E$11,Lookups!$C$200:$E$222,3,FALSE)&amp;"|"&amp;"DrainedArGr",Lookups!$H$55:$J$196,3,FALSE))),IFERROR($D27*VLOOKUP($C27&amp;"|"&amp;VLOOKUP('Stage 2'!$E$11,Lookups!$C$200:$E$222,3,FALSE),Lookups!$K$55:$M$188,3,FALSE),$D27*VLOOKUP($C27,Lookups!$D$55:$O$188,12,FALSE)))))</f>
        <v/>
      </c>
      <c r="G27" s="153"/>
    </row>
    <row r="28" spans="1:10" x14ac:dyDescent="0.35">
      <c r="A28" s="136"/>
      <c r="B28" s="1"/>
      <c r="C28" s="110"/>
      <c r="D28" s="226"/>
      <c r="E28" s="180" t="str">
        <f>IF(OR(ISBLANK($C28),ISBLANK($D28),ISBLANK($E$10),ISBLANK($E$11)),"",IFERROR($D28*VLOOKUP((IF(OR($C28="Residential urban land",$C28="Commercial/industrial urban land",$C28="Open urban land",$C28="Greenspace",$C28="Community food growing",$C28="Woodland",$C28="Shrub", $C28="Water"), "|||"&amp;$C28, (VLOOKUP('Stage 2'!$E$9,Lookups!$C$226:$D$226,2,FALSE)&amp;"|"&amp;$C28&amp;"|"&amp;VLOOKUP('Stage 2'!$E$12,Lookups!$C$240:$D$241,2,FALSE)&amp;"|"&amp;VLOOKUP('Stage 2'!$E$11,Lookups!$C$200:$E$222,3,FALSE)&amp;"|"&amp;VLOOKUP($E$10,Lookups!$C$231:$D$236,2,FALSE)))),Lookups!$H$55:$J$196,2,FALSE),
IFERROR(IFERROR($D28*VLOOKUP($C28&amp;"|"&amp;VLOOKUP('Stage 2'!$E$12,Lookups!$C$240:$D$241,2,FALSE)&amp;"|"&amp;VLOOKUP('Stage 2'!$E$11,Lookups!$C$200:$E$222,3,FALSE)&amp;"|"&amp;VLOOKUP($E$10,Lookups!$C$231:$D$236,2,FALSE),Lookups!$H$55:$J$196,2,FALSE),IFERROR($D28*VLOOKUP($C28&amp;"|"&amp;"TRUE"&amp;"|"&amp;VLOOKUP('Stage 2'!$E$11,Lookups!$C$200:$E$222,3,FALSE)&amp;"|"&amp;VLOOKUP($E$10,Lookups!$C$231:$D$236,2,FALSE),Lookups!$H$55:$J$196,2,FALSE),$D28*VLOOKUP($C28&amp;"|"&amp;VLOOKUP('Stage 2'!$E$12,Lookups!$C$240:$D$241,2,FALSE)&amp;"|"&amp;VLOOKUP('Stage 2'!$E$11,Lookups!$C$200:$E$222,3,FALSE)&amp;"|"&amp;"DrainedArGr",Lookups!$H$55:$J$196,2,FALSE))),IFERROR($D28*VLOOKUP($C28&amp;"|"&amp;VLOOKUP('Stage 2'!$E$11,Lookups!$C$200:$E$222,3,FALSE),Lookups!$K$55:$M$188,2,FALSE),$D28*VLOOKUP($C28,Lookups!$D$55:$O$188,11,FALSE)))))</f>
        <v/>
      </c>
      <c r="F28" s="180" t="str">
        <f>IF(OR(ISBLANK($C28),ISBLANK($D28),ISBLANK($E$10),ISBLANK($E$11)),"",IFERROR($D28*VLOOKUP((IF(OR($C28="Residential urban land",$C28="Commercial/industrial urban land",$C28="Open urban land",$C28="Greenspace",$C28="Community food growing",$C28="Woodland",$C28="Shrub", $C28="Water"), "|||"&amp;$C28, (VLOOKUP('Stage 2'!$E$9,Lookups!$C$226:$D$226,2,FALSE)&amp;"|"&amp;$C28&amp;"|"&amp;VLOOKUP('Stage 2'!$E$12,Lookups!$C$240:$D$241,2,FALSE)&amp;"|"&amp;VLOOKUP('Stage 2'!$E$11,Lookups!$C$200:$E$222,3,FALSE)&amp;"|"&amp;VLOOKUP($E$10,Lookups!$C$231:$D$236,2,FALSE)))),Lookups!$H$55:$J$196,3,FALSE),
IFERROR(IFERROR($D28*VLOOKUP($C28&amp;"|"&amp;VLOOKUP('Stage 2'!$E$12,Lookups!$C$240:$D$241,2,FALSE)&amp;"|"&amp;VLOOKUP('Stage 2'!$E$11,Lookups!$C$200:$E$222,3,FALSE)&amp;"|"&amp;VLOOKUP($E$10,Lookups!$C$231:$D$236,2,FALSE),Lookups!$H$55:$J$196,3,FALSE),IFERROR($D28*VLOOKUP($C28&amp;"|"&amp;"TRUE"&amp;"|"&amp;VLOOKUP('Stage 2'!$E$11,Lookups!$C$200:$E$222,3,FALSE)&amp;"|"&amp;VLOOKUP($E$10,Lookups!$C$231:$D$236,2,FALSE),Lookups!$H$55:$J$196,3,FALSE),$D28*VLOOKUP($C28&amp;"|"&amp;VLOOKUP('Stage 2'!$E$12,Lookups!$C$240:$D$241,2,FALSE)&amp;"|"&amp;VLOOKUP('Stage 2'!$E$11,Lookups!$C$200:$E$222,3,FALSE)&amp;"|"&amp;"DrainedArGr",Lookups!$H$55:$J$196,3,FALSE))),IFERROR($D28*VLOOKUP($C28&amp;"|"&amp;VLOOKUP('Stage 2'!$E$11,Lookups!$C$200:$E$222,3,FALSE),Lookups!$K$55:$M$188,3,FALSE),$D28*VLOOKUP($C28,Lookups!$D$55:$O$188,12,FALSE)))))</f>
        <v/>
      </c>
      <c r="G28" s="153"/>
      <c r="I28" s="161"/>
    </row>
    <row r="29" spans="1:10" x14ac:dyDescent="0.35">
      <c r="A29" s="136"/>
      <c r="B29" s="1"/>
      <c r="C29" s="110"/>
      <c r="D29" s="226"/>
      <c r="E29" s="180" t="str">
        <f>IF(OR(ISBLANK($C29),ISBLANK($D29),ISBLANK($E$10),ISBLANK($E$11)),"",IFERROR($D29*VLOOKUP((IF(OR($C29="Residential urban land",$C29="Commercial/industrial urban land",$C29="Open urban land",$C29="Greenspace",$C29="Community food growing",$C29="Woodland",$C29="Shrub", $C29="Water"), "|||"&amp;$C29, (VLOOKUP('Stage 2'!$E$9,Lookups!$C$226:$D$226,2,FALSE)&amp;"|"&amp;$C29&amp;"|"&amp;VLOOKUP('Stage 2'!$E$12,Lookups!$C$240:$D$241,2,FALSE)&amp;"|"&amp;VLOOKUP('Stage 2'!$E$11,Lookups!$C$200:$E$222,3,FALSE)&amp;"|"&amp;VLOOKUP($E$10,Lookups!$C$231:$D$236,2,FALSE)))),Lookups!$H$55:$J$196,2,FALSE),
IFERROR(IFERROR($D29*VLOOKUP($C29&amp;"|"&amp;VLOOKUP('Stage 2'!$E$12,Lookups!$C$240:$D$241,2,FALSE)&amp;"|"&amp;VLOOKUP('Stage 2'!$E$11,Lookups!$C$200:$E$222,3,FALSE)&amp;"|"&amp;VLOOKUP($E$10,Lookups!$C$231:$D$236,2,FALSE),Lookups!$H$55:$J$196,2,FALSE),IFERROR($D29*VLOOKUP($C29&amp;"|"&amp;"TRUE"&amp;"|"&amp;VLOOKUP('Stage 2'!$E$11,Lookups!$C$200:$E$222,3,FALSE)&amp;"|"&amp;VLOOKUP($E$10,Lookups!$C$231:$D$236,2,FALSE),Lookups!$H$55:$J$196,2,FALSE),$D29*VLOOKUP($C29&amp;"|"&amp;VLOOKUP('Stage 2'!$E$12,Lookups!$C$240:$D$241,2,FALSE)&amp;"|"&amp;VLOOKUP('Stage 2'!$E$11,Lookups!$C$200:$E$222,3,FALSE)&amp;"|"&amp;"DrainedArGr",Lookups!$H$55:$J$196,2,FALSE))),IFERROR($D29*VLOOKUP($C29&amp;"|"&amp;VLOOKUP('Stage 2'!$E$11,Lookups!$C$200:$E$222,3,FALSE),Lookups!$K$55:$M$188,2,FALSE),$D29*VLOOKUP($C29,Lookups!$D$55:$O$188,11,FALSE)))))</f>
        <v/>
      </c>
      <c r="F29" s="180" t="str">
        <f>IF(OR(ISBLANK($C29),ISBLANK($D29),ISBLANK($E$10),ISBLANK($E$11)),"",IFERROR($D29*VLOOKUP((IF(OR($C29="Residential urban land",$C29="Commercial/industrial urban land",$C29="Open urban land",$C29="Greenspace",$C29="Community food growing",$C29="Woodland",$C29="Shrub", $C29="Water"), "|||"&amp;$C29, (VLOOKUP('Stage 2'!$E$9,Lookups!$C$226:$D$226,2,FALSE)&amp;"|"&amp;$C29&amp;"|"&amp;VLOOKUP('Stage 2'!$E$12,Lookups!$C$240:$D$241,2,FALSE)&amp;"|"&amp;VLOOKUP('Stage 2'!$E$11,Lookups!$C$200:$E$222,3,FALSE)&amp;"|"&amp;VLOOKUP($E$10,Lookups!$C$231:$D$236,2,FALSE)))),Lookups!$H$55:$J$196,3,FALSE),
IFERROR(IFERROR($D29*VLOOKUP($C29&amp;"|"&amp;VLOOKUP('Stage 2'!$E$12,Lookups!$C$240:$D$241,2,FALSE)&amp;"|"&amp;VLOOKUP('Stage 2'!$E$11,Lookups!$C$200:$E$222,3,FALSE)&amp;"|"&amp;VLOOKUP($E$10,Lookups!$C$231:$D$236,2,FALSE),Lookups!$H$55:$J$196,3,FALSE),IFERROR($D29*VLOOKUP($C29&amp;"|"&amp;"TRUE"&amp;"|"&amp;VLOOKUP('Stage 2'!$E$11,Lookups!$C$200:$E$222,3,FALSE)&amp;"|"&amp;VLOOKUP($E$10,Lookups!$C$231:$D$236,2,FALSE),Lookups!$H$55:$J$196,3,FALSE),$D29*VLOOKUP($C29&amp;"|"&amp;VLOOKUP('Stage 2'!$E$12,Lookups!$C$240:$D$241,2,FALSE)&amp;"|"&amp;VLOOKUP('Stage 2'!$E$11,Lookups!$C$200:$E$222,3,FALSE)&amp;"|"&amp;"DrainedArGr",Lookups!$H$55:$J$196,3,FALSE))),IFERROR($D29*VLOOKUP($C29&amp;"|"&amp;VLOOKUP('Stage 2'!$E$11,Lookups!$C$200:$E$222,3,FALSE),Lookups!$K$55:$M$188,3,FALSE),$D29*VLOOKUP($C29,Lookups!$D$55:$O$188,12,FALSE)))))</f>
        <v/>
      </c>
      <c r="G29" s="153"/>
    </row>
    <row r="30" spans="1:10" x14ac:dyDescent="0.35">
      <c r="A30" s="136"/>
      <c r="B30" s="1"/>
      <c r="C30" s="110"/>
      <c r="D30" s="226"/>
      <c r="E30" s="193" t="str">
        <f>IF(OR(ISBLANK($C30),ISBLANK($D30),ISBLANK($E$10),ISBLANK($E$11)),"",IFERROR($D30*VLOOKUP((IF(OR($C30="Residential urban land",$C30="Commercial/industrial urban land",$C30="Open urban land",$C30="Greenspace",$C30="Community food growing",$C30="Woodland",$C30="Shrub", $C30="Water"), "|||"&amp;$C30, (VLOOKUP('Stage 2'!$E$9,Lookups!$C$226:$D$226,2,FALSE)&amp;"|"&amp;$C30&amp;"|"&amp;VLOOKUP('Stage 2'!$E$12,Lookups!$C$240:$D$241,2,FALSE)&amp;"|"&amp;VLOOKUP('Stage 2'!$E$11,Lookups!$C$200:$E$222,3,FALSE)&amp;"|"&amp;VLOOKUP($E$10,Lookups!$C$231:$D$236,2,FALSE)))),Lookups!$H$55:$J$196,2,FALSE),
IFERROR(IFERROR($D30*VLOOKUP($C30&amp;"|"&amp;VLOOKUP('Stage 2'!$E$12,Lookups!$C$240:$D$241,2,FALSE)&amp;"|"&amp;VLOOKUP('Stage 2'!$E$11,Lookups!$C$200:$E$222,3,FALSE)&amp;"|"&amp;VLOOKUP($E$10,Lookups!$C$231:$D$236,2,FALSE),Lookups!$H$55:$J$196,2,FALSE),IFERROR($D30*VLOOKUP($C30&amp;"|"&amp;"TRUE"&amp;"|"&amp;VLOOKUP('Stage 2'!$E$11,Lookups!$C$200:$E$222,3,FALSE)&amp;"|"&amp;VLOOKUP($E$10,Lookups!$C$231:$D$236,2,FALSE),Lookups!$H$55:$J$196,2,FALSE),$D30*VLOOKUP($C30&amp;"|"&amp;VLOOKUP('Stage 2'!$E$12,Lookups!$C$240:$D$241,2,FALSE)&amp;"|"&amp;VLOOKUP('Stage 2'!$E$11,Lookups!$C$200:$E$222,3,FALSE)&amp;"|"&amp;"DrainedArGr",Lookups!$H$55:$J$196,2,FALSE))),IFERROR($D30*VLOOKUP($C30&amp;"|"&amp;VLOOKUP('Stage 2'!$E$11,Lookups!$C$200:$E$222,3,FALSE),Lookups!$K$55:$M$188,2,FALSE),$D30*VLOOKUP($C30,Lookups!$D$55:$O$188,11,FALSE)))))</f>
        <v/>
      </c>
      <c r="F30" s="180" t="str">
        <f>IF(OR(ISBLANK($C30),ISBLANK($D30),ISBLANK($E$10),ISBLANK($E$11)),"",IFERROR($D30*VLOOKUP((IF(OR($C30="Residential urban land",$C30="Commercial/industrial urban land",$C30="Open urban land",$C30="Greenspace",$C30="Community food growing",$C30="Woodland",$C30="Shrub", $C30="Water"), "|||"&amp;$C30, (VLOOKUP('Stage 2'!$E$9,Lookups!$C$226:$D$226,2,FALSE)&amp;"|"&amp;$C30&amp;"|"&amp;VLOOKUP('Stage 2'!$E$12,Lookups!$C$240:$D$241,2,FALSE)&amp;"|"&amp;VLOOKUP('Stage 2'!$E$11,Lookups!$C$200:$E$222,3,FALSE)&amp;"|"&amp;VLOOKUP($E$10,Lookups!$C$231:$D$236,2,FALSE)))),Lookups!$H$55:$J$196,3,FALSE),
IFERROR(IFERROR($D30*VLOOKUP($C30&amp;"|"&amp;VLOOKUP('Stage 2'!$E$12,Lookups!$C$240:$D$241,2,FALSE)&amp;"|"&amp;VLOOKUP('Stage 2'!$E$11,Lookups!$C$200:$E$222,3,FALSE)&amp;"|"&amp;VLOOKUP($E$10,Lookups!$C$231:$D$236,2,FALSE),Lookups!$H$55:$J$196,3,FALSE),IFERROR($D30*VLOOKUP($C30&amp;"|"&amp;"TRUE"&amp;"|"&amp;VLOOKUP('Stage 2'!$E$11,Lookups!$C$200:$E$222,3,FALSE)&amp;"|"&amp;VLOOKUP($E$10,Lookups!$C$231:$D$236,2,FALSE),Lookups!$H$55:$J$196,3,FALSE),$D30*VLOOKUP($C30&amp;"|"&amp;VLOOKUP('Stage 2'!$E$12,Lookups!$C$240:$D$241,2,FALSE)&amp;"|"&amp;VLOOKUP('Stage 2'!$E$11,Lookups!$C$200:$E$222,3,FALSE)&amp;"|"&amp;"DrainedArGr",Lookups!$H$55:$J$196,3,FALSE))),IFERROR($D30*VLOOKUP($C30&amp;"|"&amp;VLOOKUP('Stage 2'!$E$11,Lookups!$C$200:$E$222,3,FALSE),Lookups!$K$55:$M$188,3,FALSE),$D30*VLOOKUP($C30,Lookups!$D$55:$O$188,12,FALSE)))))</f>
        <v/>
      </c>
      <c r="G30" s="153"/>
    </row>
    <row r="31" spans="1:10" ht="15" thickBot="1" x14ac:dyDescent="0.4">
      <c r="A31" s="136"/>
      <c r="B31" s="1"/>
      <c r="C31" s="110"/>
      <c r="D31" s="111"/>
      <c r="E31" s="194" t="str">
        <f>IF(OR(ISBLANK($C31),ISBLANK($D31),ISBLANK($E$10),ISBLANK($E$11)),"",IFERROR($D31*VLOOKUP((IF(OR($C31="Residential urban land",$C31="Commercial/industrial urban land",$C31="Open urban land",$C31="Greenspace",$C31="Community food growing",$C31="Woodland",$C31="Shrub", $C31="Water"), "|||"&amp;$C31, (VLOOKUP('Stage 2'!$E$9,Lookups!$C$226:$D$226,2,FALSE)&amp;"|"&amp;$C31&amp;"|"&amp;VLOOKUP('Stage 2'!$E$12,Lookups!$C$240:$D$241,2,FALSE)&amp;"|"&amp;VLOOKUP('Stage 2'!$E$11,Lookups!$C$200:$E$222,3,FALSE)&amp;"|"&amp;VLOOKUP($E$10,Lookups!$C$231:$D$236,2,FALSE)))),Lookups!$H$55:$J$196,2,FALSE),
IFERROR(IFERROR($D31*VLOOKUP($C31&amp;"|"&amp;VLOOKUP('Stage 2'!$E$12,Lookups!$C$240:$D$241,2,FALSE)&amp;"|"&amp;VLOOKUP('Stage 2'!$E$11,Lookups!$C$200:$E$222,3,FALSE)&amp;"|"&amp;VLOOKUP($E$10,Lookups!$C$231:$D$236,2,FALSE),Lookups!$H$55:$J$196,2,FALSE),IFERROR($D31*VLOOKUP($C31&amp;"|"&amp;"TRUE"&amp;"|"&amp;VLOOKUP('Stage 2'!$E$11,Lookups!$C$200:$E$222,3,FALSE)&amp;"|"&amp;VLOOKUP($E$10,Lookups!$C$231:$D$236,2,FALSE),Lookups!$H$55:$J$196,2,FALSE),$D31*VLOOKUP($C31&amp;"|"&amp;VLOOKUP('Stage 2'!$E$12,Lookups!$C$240:$D$241,2,FALSE)&amp;"|"&amp;VLOOKUP('Stage 2'!$E$11,Lookups!$C$200:$E$222,3,FALSE)&amp;"|"&amp;"DrainedArGr",Lookups!$H$55:$J$196,2,FALSE))),IFERROR($D31*VLOOKUP($C31&amp;"|"&amp;VLOOKUP('Stage 2'!$E$11,Lookups!$C$200:$E$222,3,FALSE),Lookups!$K$55:$M$188,2,FALSE),$D31*VLOOKUP($C31,Lookups!$D$55:$O$188,11,FALSE)))))</f>
        <v/>
      </c>
      <c r="F31" s="119" t="str">
        <f>IF(OR(ISBLANK($C31),ISBLANK($D31),ISBLANK($E$10),ISBLANK($E$11)),"",IFERROR($D31*VLOOKUP((IF(OR($C31="Residential urban land",$C31="Commercial/industrial urban land",$C31="Open urban land",$C31="Greenspace",$C31="Community food growing",$C31="Woodland",$C31="Shrub", $C31="Water"), "|||"&amp;$C31, (VLOOKUP('Stage 2'!$E$9,Lookups!$C$226:$D$226,2,FALSE)&amp;"|"&amp;$C31&amp;"|"&amp;VLOOKUP('Stage 2'!$E$12,Lookups!$C$240:$D$241,2,FALSE)&amp;"|"&amp;VLOOKUP('Stage 2'!$E$11,Lookups!$C$200:$E$222,3,FALSE)&amp;"|"&amp;VLOOKUP($E$10,Lookups!$C$231:$D$236,2,FALSE)))),Lookups!$H$55:$J$196,3,FALSE),
IFERROR(IFERROR($D31*VLOOKUP($C31&amp;"|"&amp;VLOOKUP('Stage 2'!$E$12,Lookups!$C$240:$D$241,2,FALSE)&amp;"|"&amp;VLOOKUP('Stage 2'!$E$11,Lookups!$C$200:$E$222,3,FALSE)&amp;"|"&amp;VLOOKUP($E$10,Lookups!$C$231:$D$236,2,FALSE),Lookups!$H$55:$J$196,3,FALSE),IFERROR($D31*VLOOKUP($C31&amp;"|"&amp;"TRUE"&amp;"|"&amp;VLOOKUP('Stage 2'!$E$11,Lookups!$C$200:$E$222,3,FALSE)&amp;"|"&amp;VLOOKUP($E$10,Lookups!$C$231:$D$236,2,FALSE),Lookups!$H$55:$J$196,3,FALSE),$D31*VLOOKUP($C31&amp;"|"&amp;VLOOKUP('Stage 2'!$E$12,Lookups!$C$240:$D$241,2,FALSE)&amp;"|"&amp;VLOOKUP('Stage 2'!$E$11,Lookups!$C$200:$E$222,3,FALSE)&amp;"|"&amp;"DrainedArGr",Lookups!$H$55:$J$196,3,FALSE))),IFERROR($D31*VLOOKUP($C31&amp;"|"&amp;VLOOKUP('Stage 2'!$E$11,Lookups!$C$200:$E$222,3,FALSE),Lookups!$K$55:$M$188,3,FALSE),$D31*VLOOKUP($C31,Lookups!$D$55:$O$188,12,FALSE)))))</f>
        <v/>
      </c>
      <c r="G31" s="153"/>
    </row>
    <row r="32" spans="1:10" x14ac:dyDescent="0.35">
      <c r="A32" s="136"/>
      <c r="B32" s="1"/>
      <c r="C32" s="78" t="s">
        <v>111</v>
      </c>
      <c r="D32" s="103">
        <f>SUM(D15:D31)</f>
        <v>0</v>
      </c>
      <c r="E32" s="179">
        <f>SUM(E15:E31)</f>
        <v>0</v>
      </c>
      <c r="F32" s="104">
        <f>SUM(F15:F31)</f>
        <v>0</v>
      </c>
      <c r="G32" s="120"/>
    </row>
    <row r="33" spans="1:7" ht="15" thickBot="1" x14ac:dyDescent="0.4">
      <c r="A33" s="136"/>
      <c r="B33" s="146"/>
      <c r="C33" s="133"/>
      <c r="D33" s="133"/>
      <c r="E33" s="133"/>
      <c r="F33" s="133"/>
      <c r="G33" s="134"/>
    </row>
    <row r="34" spans="1:7" ht="15" thickTop="1" x14ac:dyDescent="0.35"/>
  </sheetData>
  <sheetProtection algorithmName="SHA-512" hashValue="z/xlnfYfeVwciIxFzNyjFFAjPrpEBUe7kn4yB9xZphH/zVAQ/JZSDV+QpNk5ZaIHi1AurwO3BACANT3xXpF76A==" saltValue="B0drg25hTDqmThGsWtx9qw==" spinCount="100000" sheet="1" selectLockedCells="1"/>
  <protectedRanges>
    <protectedRange algorithmName="SHA-512" hashValue="6MaqfLmjxE2CMsYMEtptASTKbC7XykMYNd+AlVy+V2v/64BykwcwkRmAkImBIYM0n+Am+TaTWEeHGgFZHNJWgA==" saltValue="1lVOneDC33VcvqS0774YtQ==" spinCount="100000" sqref="E9:E12 C15:D31" name="Range1"/>
  </protectedRanges>
  <mergeCells count="6">
    <mergeCell ref="C12:D12"/>
    <mergeCell ref="C9:D9"/>
    <mergeCell ref="C10:D10"/>
    <mergeCell ref="C11:D11"/>
    <mergeCell ref="B3:G5"/>
    <mergeCell ref="C7:F7"/>
  </mergeCells>
  <dataValidations xWindow="220" yWindow="578" count="1">
    <dataValidation allowBlank="1" showInputMessage="1" showErrorMessage="1" prompt="Please enter area in hectares." sqref="D15:D31" xr:uid="{7A3F0B97-DB05-43E3-94F5-093694D5E348}"/>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xWindow="220" yWindow="578" count="5">
        <x14:dataValidation type="list" operator="greaterThan" allowBlank="1" showInputMessage="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Lookups!$C$226</xm:f>
          </x14:formula1>
          <xm:sqref>E9</xm:sqref>
        </x14:dataValidation>
        <x14:dataValidation type="list" allowBlank="1" showInputMessage="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Lookups!$C$208:$C$215</xm:f>
          </x14:formula1>
          <xm:sqref>E11</xm:sqref>
        </x14:dataValidation>
        <x14:dataValidation type="list" showInputMessage="1"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Lookups!$C$240:$C$241</xm:f>
          </x14:formula1>
          <xm:sqref>E12</xm:sqref>
        </x14:dataValidation>
        <x14:dataValidation type="list" operator="greaterThan" allowBlank="1" showInputMessage="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Lookups!$C$231:$C$236</xm:f>
          </x14:formula1>
          <xm:sqref>E10</xm:sqref>
        </x14:dataValidation>
        <x14:dataValidation type="list" allowBlank="1" showInputMessage="1" showErrorMessage="1" errorTitle="Landcover" error="Please select all pre exisitng landcover types." prompt="Select exisiting (pre-development) land use types from the drop down list." xr:uid="{992ADEAC-2247-4596-A0CE-29D439F892B1}">
          <x14:formula1>
            <xm:f>Lookups!$I$226:$I$241</xm:f>
          </x14:formula1>
          <xm:sqref>C15:C31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sheetPr codeName="Sheet8"/>
  <dimension ref="A3:I29"/>
  <sheetViews>
    <sheetView showRowColHeaders="0" zoomScale="85" zoomScaleNormal="100" workbookViewId="0">
      <selection activeCell="C10" sqref="C10"/>
    </sheetView>
  </sheetViews>
  <sheetFormatPr defaultColWidth="9.1796875" defaultRowHeight="14.5" x14ac:dyDescent="0.35"/>
  <cols>
    <col min="1" max="1" width="9.1796875" style="135"/>
    <col min="2" max="2" width="4.7265625" style="135" customWidth="1"/>
    <col min="3" max="3" width="32" style="135" customWidth="1"/>
    <col min="4" max="4" width="12.453125" style="135" customWidth="1"/>
    <col min="5" max="5" width="19.54296875" style="135" customWidth="1"/>
    <col min="6" max="6" width="18.81640625" style="135" hidden="1" customWidth="1"/>
    <col min="7" max="7" width="4.54296875" style="135" customWidth="1"/>
    <col min="8" max="16384" width="9.1796875" style="135"/>
  </cols>
  <sheetData>
    <row r="3" spans="1:9" x14ac:dyDescent="0.35">
      <c r="A3" s="136"/>
      <c r="B3" s="265" t="s">
        <v>112</v>
      </c>
      <c r="C3" s="266"/>
      <c r="D3" s="266"/>
      <c r="E3" s="266"/>
      <c r="F3" s="266"/>
      <c r="G3" s="267"/>
    </row>
    <row r="4" spans="1:9" x14ac:dyDescent="0.35">
      <c r="A4" s="136"/>
      <c r="B4" s="265"/>
      <c r="C4" s="266"/>
      <c r="D4" s="266"/>
      <c r="E4" s="266"/>
      <c r="F4" s="266"/>
      <c r="G4" s="267"/>
    </row>
    <row r="5" spans="1:9" x14ac:dyDescent="0.35">
      <c r="A5" s="136"/>
      <c r="B5" s="265"/>
      <c r="C5" s="266"/>
      <c r="D5" s="266"/>
      <c r="E5" s="266"/>
      <c r="F5" s="266"/>
      <c r="G5" s="267"/>
    </row>
    <row r="6" spans="1:9" ht="16.5" x14ac:dyDescent="0.35">
      <c r="A6" s="136"/>
      <c r="B6" s="1"/>
      <c r="C6" s="1"/>
      <c r="D6" s="1"/>
      <c r="E6" s="1"/>
      <c r="F6" s="1"/>
      <c r="G6" s="144"/>
    </row>
    <row r="7" spans="1:9" ht="18" customHeight="1" x14ac:dyDescent="0.35">
      <c r="A7" s="136"/>
      <c r="B7" s="1"/>
      <c r="C7" s="270" t="s">
        <v>74</v>
      </c>
      <c r="D7" s="270"/>
      <c r="E7" s="270"/>
      <c r="F7" s="270"/>
      <c r="G7" s="143"/>
    </row>
    <row r="8" spans="1:9" x14ac:dyDescent="0.35">
      <c r="A8" s="136"/>
      <c r="B8" s="1"/>
      <c r="C8" s="1"/>
      <c r="D8" s="1"/>
      <c r="E8" s="1"/>
      <c r="F8" s="1"/>
      <c r="G8" s="120"/>
    </row>
    <row r="9" spans="1:9" ht="68.25" customHeight="1" thickBot="1" x14ac:dyDescent="0.4">
      <c r="A9" s="136"/>
      <c r="B9" s="1"/>
      <c r="C9" s="79" t="s">
        <v>113</v>
      </c>
      <c r="D9" s="79" t="s">
        <v>108</v>
      </c>
      <c r="E9" s="191" t="s">
        <v>109</v>
      </c>
      <c r="F9" s="77" t="s">
        <v>114</v>
      </c>
      <c r="G9" s="120"/>
    </row>
    <row r="10" spans="1:9" x14ac:dyDescent="0.35">
      <c r="A10" s="136"/>
      <c r="B10" s="1"/>
      <c r="C10" s="110"/>
      <c r="D10" s="181"/>
      <c r="E10" s="192" t="str">
        <f>IF(OR(ISBLANK(C10),ISBLANK(D10)),"",D10*VLOOKUP((IF(OR(C10="Residential urban land",C10="Commercial/industrial urban land",C10="Open urban land",C10="Greenspace",C10="Community food growing",C10="Woodland",C10="Shrub", C10="Water"), "|||"&amp;C10, (VLOOKUP('Stage 2'!$E$9,Lookups!$C$226:$D$226,2,FALSE)&amp;"|"&amp;C10&amp;"|"&amp;VLOOKUP('Stage 2'!$E$12,Lookups!$C$240:$D$241,2,FALSE)&amp;"|"&amp;VLOOKUP('Stage 2'!$E$11,Lookups!$C$200:$E$222,3,FALSE)&amp;"|"&amp;VLOOKUP('Stage 2'!$E$10,Lookups!$C$231:$E$236,2,FALSE)))),Lookups!$H$55:$J$196,2,FALSE))</f>
        <v/>
      </c>
      <c r="F10" s="80" t="str">
        <f>IF(OR(ISBLANK(C10),ISBLANK(D10)),"",D10*VLOOKUP((IF(OR(C10="Residential urban land",C10="Commercial/industrial urban land",C10="Open urban land",C10="Greenspace",C10="Community food growing",C10="Woodland",C10="Shrub", C10="Water"), "|||"&amp;C10, (VLOOKUP('Stage 2'!$E$9,Lookups!$C$226:$D$226,2,FALSE)&amp;"|"&amp;C10&amp;"|"&amp;VLOOKUP('Stage 2'!$E$12,Lookups!$C$240:$D$241,2,FALSE)&amp;"|"&amp;VLOOKUP('Stage 2'!$E$11,Lookups!$C$200:$E$222,3,FALSE)&amp;"|"&amp;VLOOKUP('Stage 2'!$E$10,Lookups!#REF!,2,FALSE)))),Lookups!$H$55:$J$196,3,FALSE))</f>
        <v/>
      </c>
      <c r="G10" s="120"/>
    </row>
    <row r="11" spans="1:9" x14ac:dyDescent="0.35">
      <c r="A11" s="136"/>
      <c r="B11" s="1"/>
      <c r="C11" s="110"/>
      <c r="D11" s="226"/>
      <c r="E11" s="180" t="str">
        <f>IF(OR(ISBLANK(C11),ISBLANK(D11)),"",D11*VLOOKUP((IF(OR(C11="Residential urban land",C11="Commercial/industrial urban land",C11="Open urban land",C11="Greenspace",C11="Community food growing",C11="Woodland",C11="Shrub", C11="Water"), "|||"&amp;C11, (VLOOKUP('Stage 2'!$E$9,Lookups!$C$226:$D$226,2,FALSE)&amp;"|"&amp;C11&amp;"|"&amp;VLOOKUP('Stage 2'!$E$12,Lookups!$C$240:$D$241,2,FALSE)&amp;"|"&amp;VLOOKUP('Stage 2'!$E$11,Lookups!$C$200:$E$222,3,FALSE)&amp;"|"&amp;VLOOKUP('Stage 2'!$E$10,Lookups!$C$231:$E$236,2,FALSE)))),Lookups!$H$55:$J$196,2,FALSE))</f>
        <v/>
      </c>
      <c r="F11" s="80" t="str">
        <f>IF(OR(ISBLANK(C11),ISBLANK(D11)),"",D11*VLOOKUP((IF(OR(C11="Residential urban land",C11="Commercial/industrial urban land",C11="Open urban land",C11="Greenspace",C11="Community food growing",C11="Woodland",C11="Shrub", C11="Water"), "|||"&amp;C11, (VLOOKUP('Stage 2'!$E$9,Lookups!$C$226:$D$226,2,FALSE)&amp;"|"&amp;C11&amp;"|"&amp;VLOOKUP('Stage 2'!$E$12,Lookups!$C$240:$D$241,2,FALSE)&amp;"|"&amp;VLOOKUP('Stage 2'!$E$11,Lookups!$C$200:$E$222,3,FALSE)&amp;"|"&amp;VLOOKUP('Stage 2'!$E$10,Lookups!#REF!,2,FALSE)))),Lookups!$H$55:$J$196,3,FALSE))</f>
        <v/>
      </c>
      <c r="G11" s="120"/>
    </row>
    <row r="12" spans="1:9" x14ac:dyDescent="0.35">
      <c r="A12" s="136"/>
      <c r="B12" s="1"/>
      <c r="C12" s="110"/>
      <c r="D12" s="226"/>
      <c r="E12" s="180" t="str">
        <f>IF(OR(ISBLANK(C12),ISBLANK(D12)),"",D12*VLOOKUP((IF(OR(C12="Residential urban land",C12="Commercial/industrial urban land",C12="Open urban land",C12="Greenspace",C12="Community food growing",C12="Woodland",C12="Shrub", C12="Water"), "|||"&amp;C12, (VLOOKUP('Stage 2'!$E$9,Lookups!$C$226:$D$226,2,FALSE)&amp;"|"&amp;C12&amp;"|"&amp;VLOOKUP('Stage 2'!$E$12,Lookups!$C$240:$D$241,2,FALSE)&amp;"|"&amp;VLOOKUP('Stage 2'!$E$11,Lookups!$C$200:$E$222,3,FALSE)&amp;"|"&amp;VLOOKUP('Stage 2'!$E$10,Lookups!$C$231:$E$236,2,FALSE)))),Lookups!$H$55:$J$196,2,FALSE))</f>
        <v/>
      </c>
      <c r="F12" s="80" t="str">
        <f>IF(OR(ISBLANK(C12),ISBLANK(D12)),"",D12*VLOOKUP((IF(OR(C12="Residential urban land",C12="Commercial/industrial urban land",C12="Open urban land",C12="Greenspace",C12="Community food growing",C12="Woodland",C12="Shrub", C12="Water"), "|||"&amp;C12, (VLOOKUP('Stage 2'!$E$9,Lookups!$C$226:$D$226,2,FALSE)&amp;"|"&amp;C12&amp;"|"&amp;VLOOKUP('Stage 2'!$E$12,Lookups!$C$240:$D$241,2,FALSE)&amp;"|"&amp;VLOOKUP('Stage 2'!$E$11,Lookups!$C$200:$E$222,3,FALSE)&amp;"|"&amp;VLOOKUP('Stage 2'!$E$10,Lookups!#REF!,2,FALSE)))),Lookups!$H$55:$J$196,3,FALSE))</f>
        <v/>
      </c>
      <c r="G12" s="120"/>
    </row>
    <row r="13" spans="1:9" x14ac:dyDescent="0.35">
      <c r="A13" s="136"/>
      <c r="B13" s="1"/>
      <c r="C13" s="110"/>
      <c r="D13" s="226"/>
      <c r="E13" s="180" t="str">
        <f>IF(OR(ISBLANK(C13),ISBLANK(D13)),"",D13*VLOOKUP((IF(OR(C13="Residential urban land",C13="Commercial/industrial urban land",C13="Open urban land",C13="Greenspace",C13="Community food growing",C13="Woodland",C13="Shrub", C13="Water"), "|||"&amp;C13, (VLOOKUP('Stage 2'!$E$9,Lookups!$C$226:$D$226,2,FALSE)&amp;"|"&amp;C13&amp;"|"&amp;VLOOKUP('Stage 2'!$E$12,Lookups!$C$240:$D$241,2,FALSE)&amp;"|"&amp;VLOOKUP('Stage 2'!$E$11,Lookups!$C$200:$E$222,3,FALSE)&amp;"|"&amp;VLOOKUP('Stage 2'!$E$10,Lookups!$C$231:$E$236,2,FALSE)))),Lookups!$H$55:$J$196,2,FALSE))</f>
        <v/>
      </c>
      <c r="F13" s="80" t="str">
        <f>IF(OR(ISBLANK(C13),ISBLANK(D13)),"",D13*VLOOKUP((IF(OR(C13="Residential urban land",C13="Commercial/industrial urban land",C13="Open urban land",C13="Greenspace",C13="Community food growing",C13="Woodland",C13="Shrub", C13="Water"), "|||"&amp;C13, (VLOOKUP('Stage 2'!$E$9,Lookups!$C$226:$D$226,2,FALSE)&amp;"|"&amp;C13&amp;"|"&amp;VLOOKUP('Stage 2'!$E$12,Lookups!$C$240:$D$241,2,FALSE)&amp;"|"&amp;VLOOKUP('Stage 2'!$E$11,Lookups!$C$200:$E$222,3,FALSE)&amp;"|"&amp;VLOOKUP('Stage 2'!$E$10,Lookups!#REF!,2,FALSE)))),Lookups!$H$55:$J$196,3,FALSE))</f>
        <v/>
      </c>
      <c r="G13" s="120"/>
    </row>
    <row r="14" spans="1:9" x14ac:dyDescent="0.35">
      <c r="A14" s="136"/>
      <c r="B14" s="1"/>
      <c r="C14" s="110"/>
      <c r="D14" s="226"/>
      <c r="E14" s="180" t="str">
        <f>IF(OR(ISBLANK(C14),ISBLANK(D14)),"",D14*VLOOKUP((IF(OR(C14="Residential urban land",C14="Commercial/industrial urban land",C14="Open urban land",C14="Greenspace",C14="Community food growing",C14="Woodland",C14="Shrub", C14="Water"), "|||"&amp;C14, (VLOOKUP('Stage 2'!$E$9,Lookups!$C$226:$D$226,2,FALSE)&amp;"|"&amp;C14&amp;"|"&amp;VLOOKUP('Stage 2'!$E$12,Lookups!$C$240:$D$241,2,FALSE)&amp;"|"&amp;VLOOKUP('Stage 2'!$E$11,Lookups!$C$200:$E$222,3,FALSE)&amp;"|"&amp;VLOOKUP('Stage 2'!$E$10,Lookups!$C$231:$E$236,2,FALSE)))),Lookups!$H$55:$J$196,2,FALSE))</f>
        <v/>
      </c>
      <c r="F14" s="80" t="str">
        <f>IF(OR(ISBLANK(C14),ISBLANK(D14)),"",D14*VLOOKUP((IF(OR(C14="Residential urban land",C14="Commercial/industrial urban land",C14="Open urban land",C14="Greenspace",C14="Community food growing",C14="Woodland",C14="Shrub", C14="Water"), "|||"&amp;C14, (VLOOKUP('Stage 2'!$E$9,Lookups!$C$226:$D$226,2,FALSE)&amp;"|"&amp;C14&amp;"|"&amp;VLOOKUP('Stage 2'!$E$12,Lookups!$C$240:$D$241,2,FALSE)&amp;"|"&amp;VLOOKUP('Stage 2'!$E$11,Lookups!$C$200:$E$222,3,FALSE)&amp;"|"&amp;VLOOKUP('Stage 2'!$E$10,Lookups!#REF!,2,FALSE)))),Lookups!$H$55:$J$196,3,FALSE))</f>
        <v/>
      </c>
      <c r="G14" s="120"/>
    </row>
    <row r="15" spans="1:9" x14ac:dyDescent="0.35">
      <c r="A15" s="136"/>
      <c r="B15" s="1"/>
      <c r="C15" s="110"/>
      <c r="D15" s="226"/>
      <c r="E15" s="180" t="str">
        <f>IF(OR(ISBLANK(C15),ISBLANK(D15)),"",D15*VLOOKUP((IF(OR(C15="Residential urban land",C15="Commercial/industrial urban land",C15="Open urban land",C15="Greenspace",C15="Community food growing",C15="Woodland",C15="Shrub", C15="Water"), "|||"&amp;C15, (VLOOKUP('Stage 2'!$E$9,Lookups!$C$226:$D$226,2,FALSE)&amp;"|"&amp;C15&amp;"|"&amp;VLOOKUP('Stage 2'!$E$12,Lookups!$C$240:$D$241,2,FALSE)&amp;"|"&amp;VLOOKUP('Stage 2'!$E$11,Lookups!$C$200:$E$222,3,FALSE)&amp;"|"&amp;VLOOKUP('Stage 2'!$E$10,Lookups!$C$231:$E$236,2,FALSE)))),Lookups!$H$55:$J$196,2,FALSE))</f>
        <v/>
      </c>
      <c r="F15" s="80" t="str">
        <f>IF(OR(ISBLANK(C15),ISBLANK(D15)),"",D15*VLOOKUP((IF(OR(C15="Residential urban land",C15="Commercial/industrial urban land",C15="Open urban land",C15="Greenspace",C15="Community food growing",C15="Woodland",C15="Shrub", C15="Water"), "|||"&amp;C15, (VLOOKUP('Stage 2'!$E$9,Lookups!$C$226:$D$226,2,FALSE)&amp;"|"&amp;C15&amp;"|"&amp;VLOOKUP('Stage 2'!$E$12,Lookups!$C$240:$D$241,2,FALSE)&amp;"|"&amp;VLOOKUP('Stage 2'!$E$11,Lookups!$C$200:$E$222,3,FALSE)&amp;"|"&amp;VLOOKUP('Stage 2'!$E$10,Lookups!#REF!,2,FALSE)))),Lookups!$H$55:$J$196,3,FALSE))</f>
        <v/>
      </c>
      <c r="G15" s="120"/>
      <c r="I15" s="161"/>
    </row>
    <row r="16" spans="1:9" x14ac:dyDescent="0.35">
      <c r="A16" s="136"/>
      <c r="B16" s="1"/>
      <c r="C16" s="110"/>
      <c r="D16" s="226"/>
      <c r="E16" s="180" t="str">
        <f>IF(OR(ISBLANK(C16),ISBLANK(D16)),"",D16*VLOOKUP((IF(OR(C16="Residential urban land",C16="Commercial/industrial urban land",C16="Open urban land",C16="Greenspace",C16="Community food growing",C16="Woodland",C16="Shrub", C16="Water"), "|||"&amp;C16, (VLOOKUP('Stage 2'!$E$9,Lookups!$C$226:$D$226,2,FALSE)&amp;"|"&amp;C16&amp;"|"&amp;VLOOKUP('Stage 2'!$E$12,Lookups!$C$240:$D$241,2,FALSE)&amp;"|"&amp;VLOOKUP('Stage 2'!$E$11,Lookups!$C$200:$E$222,3,FALSE)&amp;"|"&amp;VLOOKUP('Stage 2'!$E$10,Lookups!$C$231:$E$236,2,FALSE)))),Lookups!$H$55:$J$196,2,FALSE))</f>
        <v/>
      </c>
      <c r="F16" s="80" t="str">
        <f>IF(OR(ISBLANK(C16),ISBLANK(D16)),"",D16*VLOOKUP((IF(OR(C16="Residential urban land",C16="Commercial/industrial urban land",C16="Open urban land",C16="Greenspace",C16="Community food growing",C16="Woodland",C16="Shrub", C16="Water"), "|||"&amp;C16, (VLOOKUP('Stage 2'!$E$9,Lookups!$C$226:$D$226,2,FALSE)&amp;"|"&amp;C16&amp;"|"&amp;VLOOKUP('Stage 2'!$E$12,Lookups!$C$240:$D$241,2,FALSE)&amp;"|"&amp;VLOOKUP('Stage 2'!$E$11,Lookups!$C$200:$E$222,3,FALSE)&amp;"|"&amp;VLOOKUP('Stage 2'!$E$10,Lookups!#REF!,2,FALSE)))),Lookups!$H$55:$J$196,3,FALSE))</f>
        <v/>
      </c>
      <c r="G16" s="120"/>
    </row>
    <row r="17" spans="1:7" x14ac:dyDescent="0.35">
      <c r="A17" s="136"/>
      <c r="B17" s="1"/>
      <c r="C17" s="225"/>
      <c r="D17" s="226"/>
      <c r="E17" s="180" t="str">
        <f>IF(OR(ISBLANK(C17),ISBLANK(D17)),"",D17*VLOOKUP((IF(OR(C17="Residential urban land",C17="Commercial/industrial urban land",C17="Open urban land",C17="Greenspace",C17="Community food growing",C17="Woodland",C17="Shrub", C17="Water"), "|||"&amp;C17, (VLOOKUP('Stage 2'!$E$9,Lookups!$C$226:$D$226,2,FALSE)&amp;"|"&amp;C17&amp;"|"&amp;VLOOKUP('Stage 2'!$E$12,Lookups!$C$240:$D$241,2,FALSE)&amp;"|"&amp;VLOOKUP('Stage 2'!$E$11,Lookups!$C$200:$E$222,3,FALSE)&amp;"|"&amp;VLOOKUP('Stage 2'!$E$10,Lookups!$C$231:$E$236,2,FALSE)))),Lookups!$H$55:$J$196,2,FALSE))</f>
        <v/>
      </c>
      <c r="F17" s="80" t="str">
        <f>IF(OR(ISBLANK(C17),ISBLANK(D17)),"",D17*VLOOKUP((IF(OR(C17="Residential urban land",C17="Commercial/industrial urban land",C17="Open urban land",C17="Greenspace",C17="Community food growing",C17="Woodland",C17="Shrub", C17="Water"), "|||"&amp;C17, (VLOOKUP('Stage 2'!$E$9,Lookups!$C$226:$D$226,2,FALSE)&amp;"|"&amp;C17&amp;"|"&amp;VLOOKUP('Stage 2'!$E$12,Lookups!$C$240:$D$241,2,FALSE)&amp;"|"&amp;VLOOKUP('Stage 2'!$E$11,Lookups!$C$200:$E$222,3,FALSE)&amp;"|"&amp;VLOOKUP('Stage 2'!$E$10,Lookups!#REF!,2,FALSE)))),Lookups!$H$55:$J$196,3,FALSE))</f>
        <v/>
      </c>
      <c r="G17" s="120"/>
    </row>
    <row r="18" spans="1:7" x14ac:dyDescent="0.35">
      <c r="A18" s="136"/>
      <c r="B18" s="1"/>
      <c r="C18" s="110"/>
      <c r="D18" s="202"/>
      <c r="E18" s="180" t="str">
        <f>IF(OR(ISBLANK(C18),ISBLANK(D18)),"",D18*VLOOKUP((IF(OR(C18="Residential urban land",C18="Commercial/industrial urban land",C18="Open urban land",C18="Greenspace",C18="Community food growing",C18="Woodland",C18="Shrub", C18="Water"), "|||"&amp;C18, (VLOOKUP('Stage 2'!$E$9,Lookups!$C$226:$D$226,2,FALSE)&amp;"|"&amp;C18&amp;"|"&amp;VLOOKUP('Stage 2'!$E$12,Lookups!$C$240:$D$241,2,FALSE)&amp;"|"&amp;VLOOKUP('Stage 2'!$E$11,Lookups!$C$200:$E$222,3,FALSE)&amp;"|"&amp;VLOOKUP('Stage 2'!$E$10,Lookups!$C$231:$E$236,2,FALSE)))),Lookups!$H$55:$J$196,2,FALSE))</f>
        <v/>
      </c>
      <c r="F18" s="80" t="str">
        <f>IF(OR(ISBLANK(C18),ISBLANK(D18)),"",D18*VLOOKUP((IF(OR(C18="Residential urban land",C18="Commercial/industrial urban land",C18="Open urban land",C18="Greenspace",C18="Community food growing",C18="Woodland",C18="Shrub", C18="Water"), "|||"&amp;C18, (VLOOKUP('Stage 2'!$E$9,Lookups!$C$226:$D$226,2,FALSE)&amp;"|"&amp;C18&amp;"|"&amp;VLOOKUP('Stage 2'!$E$12,Lookups!$C$240:$D$241,2,FALSE)&amp;"|"&amp;VLOOKUP('Stage 2'!$E$11,Lookups!$C$200:$E$222,3,FALSE)&amp;"|"&amp;VLOOKUP('Stage 2'!$E$10,Lookups!#REF!,2,FALSE)))),Lookups!$H$55:$J$196,3,FALSE))</f>
        <v/>
      </c>
      <c r="G18" s="120"/>
    </row>
    <row r="19" spans="1:7" x14ac:dyDescent="0.35">
      <c r="A19" s="136"/>
      <c r="B19" s="1"/>
      <c r="C19" s="110"/>
      <c r="D19" s="202"/>
      <c r="E19" s="180" t="str">
        <f>IF(OR(ISBLANK(C19),ISBLANK(D19)),"",D19*VLOOKUP((IF(OR(C19="Residential urban land",C19="Commercial/industrial urban land",C19="Open urban land",C19="Greenspace",C19="Community food growing",C19="Woodland",C19="Shrub", C19="Water"), "|||"&amp;C19, (VLOOKUP('Stage 2'!$E$9,Lookups!$C$226:$D$226,2,FALSE)&amp;"|"&amp;C19&amp;"|"&amp;VLOOKUP('Stage 2'!$E$12,Lookups!$C$240:$D$241,2,FALSE)&amp;"|"&amp;VLOOKUP('Stage 2'!$E$11,Lookups!$C$200:$E$222,3,FALSE)&amp;"|"&amp;VLOOKUP('Stage 2'!$E$10,Lookups!$C$231:$E$236,2,FALSE)))),Lookups!$H$55:$J$196,2,FALSE))</f>
        <v/>
      </c>
      <c r="F19" s="80" t="str">
        <f>IF(OR(ISBLANK(C19),ISBLANK(D19)),"",D19*VLOOKUP((IF(OR(C19="Residential urban land",C19="Commercial/industrial urban land",C19="Open urban land",C19="Greenspace",C19="Community food growing",C19="Woodland",C19="Shrub", C19="Water"), "|||"&amp;C19, (VLOOKUP('Stage 2'!$E$9,Lookups!$C$226:$D$226,2,FALSE)&amp;"|"&amp;C19&amp;"|"&amp;VLOOKUP('Stage 2'!$E$12,Lookups!$C$240:$D$241,2,FALSE)&amp;"|"&amp;VLOOKUP('Stage 2'!$E$11,Lookups!$C$200:$E$222,3,FALSE)&amp;"|"&amp;VLOOKUP('Stage 2'!$E$10,Lookups!#REF!,2,FALSE)))),Lookups!$H$55:$J$196,3,FALSE))</f>
        <v/>
      </c>
      <c r="G19" s="120"/>
    </row>
    <row r="20" spans="1:7" x14ac:dyDescent="0.35">
      <c r="A20" s="136"/>
      <c r="B20" s="1"/>
      <c r="C20" s="110"/>
      <c r="D20" s="202"/>
      <c r="E20" s="180" t="str">
        <f>IF(OR(ISBLANK(C20),ISBLANK(D20)),"",D20*VLOOKUP((IF(OR(C20="Residential urban land",C20="Commercial/industrial urban land",C20="Open urban land",C20="Greenspace",C20="Community food growing",C20="Woodland",C20="Shrub", C20="Water"), "|||"&amp;C20, (VLOOKUP('Stage 2'!$E$9,Lookups!$C$226:$D$226,2,FALSE)&amp;"|"&amp;C20&amp;"|"&amp;VLOOKUP('Stage 2'!$E$12,Lookups!$C$240:$D$241,2,FALSE)&amp;"|"&amp;VLOOKUP('Stage 2'!$E$11,Lookups!$C$200:$E$222,3,FALSE)&amp;"|"&amp;VLOOKUP('Stage 2'!$E$10,Lookups!$C$231:$E$236,2,FALSE)))),Lookups!$H$55:$J$196,2,FALSE))</f>
        <v/>
      </c>
      <c r="F20" s="80" t="str">
        <f>IF(OR(ISBLANK(C20),ISBLANK(D20)),"",D20*VLOOKUP((IF(OR(C20="Residential urban land",C20="Commercial/industrial urban land",C20="Open urban land",C20="Greenspace",C20="Community food growing",C20="Woodland",C20="Shrub", C20="Water"), "|||"&amp;C20, (VLOOKUP('Stage 2'!$E$9,Lookups!$C$226:$D$226,2,FALSE)&amp;"|"&amp;C20&amp;"|"&amp;VLOOKUP('Stage 2'!$E$12,Lookups!$C$240:$D$241,2,FALSE)&amp;"|"&amp;VLOOKUP('Stage 2'!$E$11,Lookups!$C$200:$E$222,3,FALSE)&amp;"|"&amp;VLOOKUP('Stage 2'!$E$10,Lookups!#REF!,2,FALSE)))),Lookups!$H$55:$J$196,3,FALSE))</f>
        <v/>
      </c>
      <c r="G20" s="120"/>
    </row>
    <row r="21" spans="1:7" x14ac:dyDescent="0.35">
      <c r="A21" s="136"/>
      <c r="B21" s="1"/>
      <c r="C21" s="110"/>
      <c r="D21" s="202"/>
      <c r="E21" s="180" t="str">
        <f>IF(OR(ISBLANK(C21),ISBLANK(D21)),"",D21*VLOOKUP((IF(OR(C21="Residential urban land",C21="Commercial/industrial urban land",C21="Open urban land",C21="Greenspace",C21="Community food growing",C21="Woodland",C21="Shrub", C21="Water"), "|||"&amp;C21, (VLOOKUP('Stage 2'!$E$9,Lookups!$C$226:$D$226,2,FALSE)&amp;"|"&amp;C21&amp;"|"&amp;VLOOKUP('Stage 2'!$E$12,Lookups!$C$240:$D$241,2,FALSE)&amp;"|"&amp;VLOOKUP('Stage 2'!$E$11,Lookups!$C$200:$E$222,3,FALSE)&amp;"|"&amp;VLOOKUP('Stage 2'!$E$10,Lookups!$C$231:$E$236,2,FALSE)))),Lookups!$H$55:$J$196,2,FALSE))</f>
        <v/>
      </c>
      <c r="F21" s="80" t="str">
        <f>IF(OR(ISBLANK(C21),ISBLANK(D21)),"",D21*VLOOKUP((IF(OR(C21="Residential urban land",C21="Commercial/industrial urban land",C21="Open urban land",C21="Greenspace",C21="Community food growing",C21="Woodland",C21="Shrub", C21="Water"), "|||"&amp;C21, (VLOOKUP('Stage 2'!$E$9,Lookups!$C$226:$D$226,2,FALSE)&amp;"|"&amp;C21&amp;"|"&amp;VLOOKUP('Stage 2'!$E$12,Lookups!$C$240:$D$241,2,FALSE)&amp;"|"&amp;VLOOKUP('Stage 2'!$E$11,Lookups!$C$200:$E$222,3,FALSE)&amp;"|"&amp;VLOOKUP('Stage 2'!$E$10,Lookups!#REF!,2,FALSE)))),Lookups!$H$55:$J$196,3,FALSE))</f>
        <v/>
      </c>
      <c r="G21" s="120"/>
    </row>
    <row r="22" spans="1:7" x14ac:dyDescent="0.35">
      <c r="A22" s="136"/>
      <c r="B22" s="1"/>
      <c r="C22" s="110"/>
      <c r="D22" s="202"/>
      <c r="E22" s="180" t="str">
        <f>IF(OR(ISBLANK(C22),ISBLANK(D22)),"",D22*VLOOKUP((IF(OR(C22="Residential urban land",C22="Commercial/industrial urban land",C22="Open urban land",C22="Greenspace",C22="Community food growing",C22="Woodland",C22="Shrub", C22="Water"), "|||"&amp;C22, (VLOOKUP('Stage 2'!$E$9,Lookups!$C$226:$D$226,2,FALSE)&amp;"|"&amp;C22&amp;"|"&amp;VLOOKUP('Stage 2'!$E$12,Lookups!$C$240:$D$241,2,FALSE)&amp;"|"&amp;VLOOKUP('Stage 2'!$E$11,Lookups!$C$200:$E$222,3,FALSE)&amp;"|"&amp;VLOOKUP('Stage 2'!$E$10,Lookups!$C$231:$E$236,2,FALSE)))),Lookups!$H$55:$J$196,2,FALSE))</f>
        <v/>
      </c>
      <c r="F22" s="80" t="str">
        <f>IF(OR(ISBLANK(C22),ISBLANK(D22)),"",D22*VLOOKUP((IF(OR(C22="Residential urban land",C22="Commercial/industrial urban land",C22="Open urban land",C22="Greenspace",C22="Community food growing",C22="Woodland",C22="Shrub", C22="Water"), "|||"&amp;C22, (VLOOKUP('Stage 2'!$E$9,Lookups!$C$226:$D$226,2,FALSE)&amp;"|"&amp;C22&amp;"|"&amp;VLOOKUP('Stage 2'!$E$12,Lookups!$C$240:$D$241,2,FALSE)&amp;"|"&amp;VLOOKUP('Stage 2'!$E$11,Lookups!$C$200:$E$222,3,FALSE)&amp;"|"&amp;VLOOKUP('Stage 2'!$E$10,Lookups!#REF!,2,FALSE)))),Lookups!$H$55:$J$196,3,FALSE))</f>
        <v/>
      </c>
      <c r="G22" s="120"/>
    </row>
    <row r="23" spans="1:7" x14ac:dyDescent="0.35">
      <c r="A23" s="136"/>
      <c r="B23" s="1"/>
      <c r="C23" s="110"/>
      <c r="D23" s="203"/>
      <c r="E23" s="180" t="str">
        <f>IF(OR(ISBLANK(C23),ISBLANK(D23)),"",D23*VLOOKUP((IF(OR(C23="Residential urban land",C23="Commercial/industrial urban land",C23="Open urban land",C23="Greenspace",C23="Community food growing",C23="Woodland",C23="Shrub", C23="Water"), "|||"&amp;C23, (VLOOKUP('Stage 2'!$E$9,Lookups!$C$226:$D$226,2,FALSE)&amp;"|"&amp;C23&amp;"|"&amp;VLOOKUP('Stage 2'!$E$12,Lookups!$C$240:$D$241,2,FALSE)&amp;"|"&amp;VLOOKUP('Stage 2'!$E$11,Lookups!$C$200:$E$222,3,FALSE)&amp;"|"&amp;VLOOKUP('Stage 2'!$E$10,Lookups!$C$231:$E$236,2,FALSE)))),Lookups!$H$55:$J$196,2,FALSE))</f>
        <v/>
      </c>
      <c r="F23" s="80" t="str">
        <f>IF(OR(ISBLANK(C23),ISBLANK(D23)),"",D23*VLOOKUP((IF(OR(C23="Residential urban land",C23="Commercial/industrial urban land",C23="Open urban land",C23="Greenspace",C23="Community food growing",C23="Woodland",C23="Shrub", C23="Water"), "|||"&amp;C23, (VLOOKUP('Stage 2'!$E$9,Lookups!$C$226:$D$226,2,FALSE)&amp;"|"&amp;C23&amp;"|"&amp;VLOOKUP('Stage 2'!$E$12,Lookups!$C$240:$D$241,2,FALSE)&amp;"|"&amp;VLOOKUP('Stage 2'!$E$11,Lookups!$C$200:$E$222,3,FALSE)&amp;"|"&amp;VLOOKUP('Stage 2'!$E$10,Lookups!#REF!,2,FALSE)))),Lookups!$H$55:$J$196,3,FALSE))</f>
        <v/>
      </c>
      <c r="G23" s="120"/>
    </row>
    <row r="24" spans="1:7" x14ac:dyDescent="0.35">
      <c r="A24" s="136"/>
      <c r="B24" s="1"/>
      <c r="C24" s="110"/>
      <c r="D24" s="201"/>
      <c r="E24" s="180" t="str">
        <f>IF(OR(ISBLANK(C24),ISBLANK(D24)),"",D24*VLOOKUP((IF(OR(C24="Residential urban land",C24="Commercial/industrial urban land",C24="Open urban land",C24="Greenspace",C24="Community food growing",C24="Woodland",C24="Shrub", C24="Water"), "|||"&amp;C24, (VLOOKUP('Stage 2'!$E$9,Lookups!$C$226:$D$226,2,FALSE)&amp;"|"&amp;C24&amp;"|"&amp;VLOOKUP('Stage 2'!$E$12,Lookups!$C$240:$D$241,2,FALSE)&amp;"|"&amp;VLOOKUP('Stage 2'!$E$11,Lookups!$C$200:$E$222,3,FALSE)&amp;"|"&amp;VLOOKUP('Stage 2'!$E$10,Lookups!$C$231:$E$236,2,FALSE)))),Lookups!$H$55:$J$196,2,FALSE))</f>
        <v/>
      </c>
      <c r="F24" s="80" t="str">
        <f>IF(OR(ISBLANK(C24),ISBLANK(D24)),"",D24*VLOOKUP((IF(OR(C24="Residential urban land",C24="Commercial/industrial urban land",C24="Open urban land",C24="Greenspace",C24="Community food growing",C24="Woodland",C24="Shrub", C24="Water"), "|||"&amp;C24, (VLOOKUP('Stage 2'!$E$9,Lookups!$C$226:$D$226,2,FALSE)&amp;"|"&amp;C24&amp;"|"&amp;VLOOKUP('Stage 2'!$E$12,Lookups!$C$240:$D$241,2,FALSE)&amp;"|"&amp;VLOOKUP('Stage 2'!$E$11,Lookups!$C$200:$E$222,3,FALSE)&amp;"|"&amp;VLOOKUP('Stage 2'!$E$10,Lookups!#REF!,2,FALSE)))),Lookups!$H$55:$J$196,3,FALSE))</f>
        <v/>
      </c>
      <c r="G24" s="120"/>
    </row>
    <row r="25" spans="1:7" x14ac:dyDescent="0.35">
      <c r="A25" s="136"/>
      <c r="B25" s="1"/>
      <c r="C25" s="110"/>
      <c r="D25" s="201"/>
      <c r="E25" s="180" t="str">
        <f>IF(OR(ISBLANK(C25),ISBLANK(D25)),"",D25*VLOOKUP((IF(OR(C25="Residential urban land",C25="Commercial/industrial urban land",C25="Open urban land",C25="Greenspace",C25="Community food growing",C25="Woodland",C25="Shrub", C25="Water"), "|||"&amp;C25, (VLOOKUP('Stage 2'!$E$9,Lookups!$C$226:$D$226,2,FALSE)&amp;"|"&amp;C25&amp;"|"&amp;VLOOKUP('Stage 2'!$E$12,Lookups!$C$240:$D$241,2,FALSE)&amp;"|"&amp;VLOOKUP('Stage 2'!$E$11,Lookups!$C$200:$E$222,3,FALSE)&amp;"|"&amp;VLOOKUP('Stage 2'!$E$10,Lookups!$C$231:$E$236,2,FALSE)))),Lookups!$H$55:$J$196,2,FALSE))</f>
        <v/>
      </c>
      <c r="F25" s="80" t="str">
        <f>IF(OR(ISBLANK(C25),ISBLANK(D25)),"",D25*VLOOKUP((IF(OR(C25="Residential urban land",C25="Commercial/industrial urban land",C25="Open urban land",C25="Greenspace",C25="Community food growing",C25="Woodland",C25="Shrub", C25="Water"), "|||"&amp;C25, (VLOOKUP('Stage 2'!$E$9,Lookups!$C$226:$D$226,2,FALSE)&amp;"|"&amp;C25&amp;"|"&amp;VLOOKUP('Stage 2'!$E$12,Lookups!$C$240:$D$241,2,FALSE)&amp;"|"&amp;VLOOKUP('Stage 2'!$E$11,Lookups!$C$200:$E$222,3,FALSE)&amp;"|"&amp;VLOOKUP('Stage 2'!$E$10,Lookups!#REF!,2,FALSE)))),Lookups!$H$55:$J$196,3,FALSE))</f>
        <v/>
      </c>
      <c r="G25" s="120"/>
    </row>
    <row r="26" spans="1:7" ht="15" thickBot="1" x14ac:dyDescent="0.4">
      <c r="A26" s="136"/>
      <c r="B26" s="1"/>
      <c r="C26" s="118"/>
      <c r="D26" s="204"/>
      <c r="E26" s="194" t="str">
        <f>IF(OR(ISBLANK(C26),ISBLANK(D26)),"",D26*VLOOKUP((IF(OR(C26="Residential urban land",C26="Commercial/industrial urban land",C26="Open urban land",C26="Greenspace",C26="Community food growing",C26="Woodland",C26="Shrub", C26="Water"), "|||"&amp;C26, (VLOOKUP('Stage 2'!$E$9,Lookups!$C$226:$D$226,2,FALSE)&amp;"|"&amp;C26&amp;"|"&amp;VLOOKUP('Stage 2'!$E$12,Lookups!$C$240:$D$241,2,FALSE)&amp;"|"&amp;VLOOKUP('Stage 2'!$E$11,Lookups!$C$200:$E$222,3,FALSE)&amp;"|"&amp;VLOOKUP('Stage 2'!$E$10,Lookups!$C$231:$E$236,2,FALSE)))),Lookups!$H$55:$J$196,2,FALSE))</f>
        <v/>
      </c>
      <c r="F26" s="81" t="str">
        <f>IF(OR(ISBLANK(C26),ISBLANK(D26)),"",D26*VLOOKUP((IF(OR(C26="Residential urban land",C26="Commercial/industrial urban land",C26="Open urban land",C26="Greenspace",C26="Community food growing",C26="Woodland",C26="Shrub", C26="Water"), "|||"&amp;C26, (VLOOKUP('Stage 2'!$E$9,Lookups!$C$226:$D$226,2,FALSE)&amp;"|"&amp;C26&amp;"|"&amp;VLOOKUP('Stage 2'!$E$12,Lookups!$C$240:$D$241,2,FALSE)&amp;"|"&amp;VLOOKUP('Stage 2'!$E$11,Lookups!$C$200:$E$222,3,FALSE)&amp;"|"&amp;VLOOKUP('Stage 2'!$E$10,Lookups!#REF!,2,FALSE)))),Lookups!$H$55:$J$196,3,FALSE))</f>
        <v/>
      </c>
      <c r="G26" s="120"/>
    </row>
    <row r="27" spans="1:7" x14ac:dyDescent="0.35">
      <c r="A27" s="136"/>
      <c r="B27" s="1"/>
      <c r="C27" s="74" t="s">
        <v>111</v>
      </c>
      <c r="D27" s="128">
        <f>SUM(D10:D26)</f>
        <v>0</v>
      </c>
      <c r="E27" s="179">
        <f>SUM(E10:E26)</f>
        <v>0</v>
      </c>
      <c r="F27" s="104">
        <f>SUM(F10:F26)</f>
        <v>0</v>
      </c>
      <c r="G27" s="120"/>
    </row>
    <row r="28" spans="1:7" ht="15" thickBot="1" x14ac:dyDescent="0.4">
      <c r="A28" s="136"/>
      <c r="B28" s="146"/>
      <c r="C28" s="133"/>
      <c r="D28" s="133"/>
      <c r="E28" s="133"/>
      <c r="F28" s="133"/>
      <c r="G28" s="134"/>
    </row>
    <row r="29" spans="1:7" ht="15" thickTop="1" x14ac:dyDescent="0.35"/>
  </sheetData>
  <sheetProtection algorithmName="SHA-512" hashValue="Zr3xjNjzaBuNWJIyyS1CSDANe+tsXXc9/YtgBV3TdSAI8b2iZpyM3+a5xDlAzDEjuK7T3ktf5MJo/CzBnoq2fw==" saltValue="nSe+K1MOSEIATM+8GPaEkQ==" spinCount="100000" sheet="1" selectLockedCells="1"/>
  <protectedRanges>
    <protectedRange algorithmName="SHA-512" hashValue="MvmTLotpKiuRnedI3A4NjKJPVt4Aw8hcOvmE+D0rBMjM9TiU4ekXkprnHN0k9oVg0inb+CLcUsLFrJxBFcC6uw==" saltValue="93Zg0snhziumGVhjlXa2zg==" spinCount="100000" sqref="C10:D26" name="Range1"/>
  </protectedRanges>
  <mergeCells count="2">
    <mergeCell ref="B3:G5"/>
    <mergeCell ref="C7:F7"/>
  </mergeCells>
  <dataValidations xWindow="165" yWindow="453" count="1">
    <dataValidation allowBlank="1" showInputMessage="1" showErrorMessage="1" prompt="Please enter area in hectares." sqref="D10:D26" xr:uid="{F230AB9C-8339-4373-B4B8-7B45A3D33AEE}"/>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xWindow="165" yWindow="453" count="1">
        <x14:dataValidation type="list" allowBlank="1" showInputMessage="1" showErrorMessage="1" errorTitle="Landcover" error="Please select all pre exisitng landcover types." prompt="Select exisiting (post-development) land use types from the drop down list." xr:uid="{FA0D53B1-FD66-49E4-975D-2D0980FA619E}">
          <x14:formula1>
            <xm:f>Lookups!$G$235:$G$242</xm:f>
          </x14:formula1>
          <xm:sqref>C10:C26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sheetPr codeName="Sheet9"/>
  <dimension ref="B2:L33"/>
  <sheetViews>
    <sheetView showRowColHeaders="0" zoomScaleNormal="100" workbookViewId="0">
      <selection activeCell="D22" sqref="D22:D25"/>
    </sheetView>
  </sheetViews>
  <sheetFormatPr defaultColWidth="9.1796875" defaultRowHeight="14.5" x14ac:dyDescent="0.35"/>
  <cols>
    <col min="1" max="1" width="9.1796875" style="135"/>
    <col min="2" max="2" width="4.81640625" style="135" customWidth="1"/>
    <col min="3" max="3" width="30.453125" style="135" customWidth="1"/>
    <col min="4" max="4" width="26.81640625" style="135" customWidth="1"/>
    <col min="5" max="5" width="9.1796875" style="135"/>
    <col min="6" max="6" width="35" style="135" customWidth="1"/>
    <col min="7" max="7" width="23.26953125" style="135" customWidth="1"/>
    <col min="8" max="10" width="9.1796875" style="135"/>
    <col min="11" max="11" width="7.1796875" style="135" customWidth="1"/>
    <col min="12" max="16384" width="9.1796875" style="135"/>
  </cols>
  <sheetData>
    <row r="2" spans="2:12" ht="15" thickBot="1" x14ac:dyDescent="0.4"/>
    <row r="3" spans="2:12" ht="15" thickTop="1" x14ac:dyDescent="0.35">
      <c r="B3" s="275" t="s">
        <v>115</v>
      </c>
      <c r="C3" s="276"/>
      <c r="D3" s="276"/>
      <c r="E3" s="276"/>
      <c r="F3" s="276"/>
      <c r="G3" s="276"/>
      <c r="H3" s="277"/>
    </row>
    <row r="4" spans="2:12" x14ac:dyDescent="0.35">
      <c r="B4" s="265"/>
      <c r="C4" s="266"/>
      <c r="D4" s="266"/>
      <c r="E4" s="266"/>
      <c r="F4" s="266"/>
      <c r="G4" s="266"/>
      <c r="H4" s="267"/>
    </row>
    <row r="5" spans="2:12" x14ac:dyDescent="0.35">
      <c r="B5" s="265"/>
      <c r="C5" s="266"/>
      <c r="D5" s="266"/>
      <c r="E5" s="266"/>
      <c r="F5" s="266"/>
      <c r="G5" s="266"/>
      <c r="H5" s="267"/>
    </row>
    <row r="6" spans="2:12" ht="16.5" x14ac:dyDescent="0.35">
      <c r="B6" s="130"/>
      <c r="C6" s="1"/>
      <c r="D6" s="1"/>
      <c r="E6" s="1"/>
      <c r="F6" s="1"/>
      <c r="G6" s="1"/>
      <c r="H6" s="120"/>
      <c r="L6" s="138"/>
    </row>
    <row r="7" spans="2:12" ht="17.5" x14ac:dyDescent="0.35">
      <c r="B7" s="130"/>
      <c r="C7" s="274" t="s">
        <v>116</v>
      </c>
      <c r="D7" s="274"/>
      <c r="E7" s="1"/>
      <c r="F7" s="1"/>
      <c r="G7" s="1"/>
      <c r="H7" s="120"/>
      <c r="L7" s="138"/>
    </row>
    <row r="8" spans="2:12" ht="18" hidden="1" customHeight="1" x14ac:dyDescent="0.5">
      <c r="B8" s="130"/>
      <c r="C8" s="1"/>
      <c r="D8" s="1"/>
      <c r="E8" s="1"/>
      <c r="F8" s="1"/>
      <c r="G8" s="1"/>
      <c r="H8" s="162"/>
      <c r="I8" s="165"/>
      <c r="J8" s="166"/>
      <c r="L8" s="140"/>
    </row>
    <row r="9" spans="2:12" ht="12" hidden="1" customHeight="1" x14ac:dyDescent="0.5">
      <c r="B9" s="130"/>
      <c r="C9" s="1"/>
      <c r="D9" s="1"/>
      <c r="E9" s="1"/>
      <c r="F9" s="1"/>
      <c r="G9" s="1"/>
      <c r="H9" s="163"/>
      <c r="I9" s="167"/>
      <c r="J9" s="168"/>
      <c r="L9" s="140"/>
    </row>
    <row r="10" spans="2:12" ht="17" hidden="1" thickBot="1" x14ac:dyDescent="0.55000000000000004">
      <c r="B10" s="130"/>
      <c r="C10" s="71" t="s">
        <v>117</v>
      </c>
      <c r="D10" s="99" t="str">
        <f>'Stage 1'!D29</f>
        <v/>
      </c>
      <c r="E10" s="22"/>
      <c r="F10" s="1"/>
      <c r="G10" s="1"/>
      <c r="H10" s="163"/>
      <c r="I10" s="167"/>
      <c r="J10" s="168"/>
      <c r="L10" s="140"/>
    </row>
    <row r="11" spans="2:12" ht="21" hidden="1" customHeight="1" thickBot="1" x14ac:dyDescent="0.55000000000000004">
      <c r="B11" s="130"/>
      <c r="C11" s="72" t="s">
        <v>118</v>
      </c>
      <c r="D11" s="100">
        <f>'Stage 3'!E27-'Stage 2'!E32</f>
        <v>0</v>
      </c>
      <c r="E11" s="24"/>
      <c r="F11" s="1"/>
      <c r="G11" s="1"/>
      <c r="H11" s="163"/>
      <c r="I11" s="169"/>
      <c r="J11" s="168"/>
      <c r="K11" s="138"/>
      <c r="L11" s="141"/>
    </row>
    <row r="12" spans="2:12" ht="17" hidden="1" thickBot="1" x14ac:dyDescent="0.4">
      <c r="B12" s="130"/>
      <c r="C12" s="72" t="s">
        <v>119</v>
      </c>
      <c r="D12" s="68" t="e">
        <f>D10+D11</f>
        <v>#VALUE!</v>
      </c>
      <c r="E12" s="25"/>
      <c r="F12" s="1"/>
      <c r="G12" s="1"/>
      <c r="H12" s="143"/>
      <c r="I12" s="170"/>
      <c r="J12" s="140"/>
      <c r="K12" s="140"/>
      <c r="L12" s="141"/>
    </row>
    <row r="13" spans="2:12" ht="29.25" hidden="1" customHeight="1" x14ac:dyDescent="0.35">
      <c r="B13" s="130"/>
      <c r="C13" s="15" t="s">
        <v>120</v>
      </c>
      <c r="D13" s="101" t="e">
        <f>D12*1.2</f>
        <v>#VALUE!</v>
      </c>
      <c r="E13" s="26"/>
      <c r="F13" s="1"/>
      <c r="G13" s="1"/>
      <c r="H13" s="145"/>
      <c r="I13" s="171"/>
      <c r="J13" s="141"/>
      <c r="K13" s="141"/>
    </row>
    <row r="14" spans="2:12" ht="11.25" hidden="1" customHeight="1" x14ac:dyDescent="0.35">
      <c r="B14" s="130"/>
      <c r="C14" s="22"/>
      <c r="D14" s="164"/>
      <c r="E14" s="22"/>
      <c r="F14" s="1"/>
      <c r="G14" s="1"/>
      <c r="H14" s="120"/>
    </row>
    <row r="15" spans="2:12" hidden="1" x14ac:dyDescent="0.35">
      <c r="B15" s="130"/>
      <c r="C15" s="22"/>
      <c r="D15" s="164"/>
      <c r="E15" s="22"/>
      <c r="F15" s="1"/>
      <c r="G15" s="1"/>
      <c r="H15" s="120"/>
    </row>
    <row r="16" spans="2:12" ht="15" hidden="1" thickBot="1" x14ac:dyDescent="0.4">
      <c r="B16" s="130"/>
      <c r="C16" s="71" t="s">
        <v>121</v>
      </c>
      <c r="D16" s="99" t="str">
        <f>'Stage 1'!D34</f>
        <v/>
      </c>
      <c r="E16" s="22"/>
      <c r="F16" s="1"/>
      <c r="G16" s="1"/>
      <c r="H16" s="120"/>
    </row>
    <row r="17" spans="2:8" ht="15" hidden="1" thickBot="1" x14ac:dyDescent="0.4">
      <c r="B17" s="130"/>
      <c r="C17" s="72" t="s">
        <v>122</v>
      </c>
      <c r="D17" s="102">
        <f>'Stage 3'!F27-'Stage 2'!F32</f>
        <v>0</v>
      </c>
      <c r="E17" s="22"/>
      <c r="F17" s="1"/>
      <c r="G17" s="1"/>
      <c r="H17" s="120"/>
    </row>
    <row r="18" spans="2:8" ht="15" hidden="1" thickBot="1" x14ac:dyDescent="0.4">
      <c r="B18" s="130"/>
      <c r="C18" s="70" t="s">
        <v>123</v>
      </c>
      <c r="D18" s="89" t="e">
        <f>D16+D17</f>
        <v>#VALUE!</v>
      </c>
      <c r="E18" s="18"/>
      <c r="F18" s="1"/>
      <c r="G18" s="1"/>
      <c r="H18" s="120"/>
    </row>
    <row r="19" spans="2:8" hidden="1" x14ac:dyDescent="0.35">
      <c r="B19" s="130"/>
      <c r="C19" s="15" t="s">
        <v>124</v>
      </c>
      <c r="D19" s="101" t="e">
        <f>D18*1.2</f>
        <v>#VALUE!</v>
      </c>
      <c r="E19" s="18"/>
      <c r="F19" s="1"/>
      <c r="G19" s="1"/>
      <c r="H19" s="120"/>
    </row>
    <row r="20" spans="2:8" ht="16.5" x14ac:dyDescent="0.35">
      <c r="B20" s="130"/>
      <c r="C20" s="9"/>
      <c r="D20" s="11"/>
      <c r="E20" s="12"/>
      <c r="F20" s="1"/>
      <c r="G20" s="1"/>
      <c r="H20" s="120"/>
    </row>
    <row r="21" spans="2:8" ht="24.75" customHeight="1" x14ac:dyDescent="0.35">
      <c r="B21" s="130"/>
      <c r="C21" s="278" t="str">
        <f>IFERROR(IF(AND('Stage 1'!$D$9&lt;DATE(2025,1,1),OR((VLOOKUP('Stage 1'!$D$13,Lookups!$C$8:$G$49,2,FALSE))&gt;(VLOOKUP('Stage 1'!$D$13,Lookups!$C$8:$G$49,4,FALSE)),(VLOOKUP('Stage 1'!$D$13,Lookups!$C$8:$G$49,3,FALSE))&gt;(VLOOKUP('Stage 1'!$D$13,Lookups!$C$8:$G$49,5,FALSE)))),"Post-2025 Annual Nutrient Budget","Annual Nutrient Budget"),"")</f>
        <v/>
      </c>
      <c r="D21" s="278"/>
      <c r="E21" s="12"/>
      <c r="F21" s="278" t="str">
        <f>IFERROR(IF(AND('Stage 1'!$D$9&lt;DATE(2025,1,1),OR((VLOOKUP('Stage 1'!$D$13,Lookups!$C$8:$G$49,2,FALSE))&gt;(VLOOKUP('Stage 1'!$D$13,Lookups!$C$8:$G$49,4,FALSE)),(VLOOKUP('Stage 1'!$D$13,Lookups!$C$8:$G$49,3,FALSE))&gt;(VLOOKUP('Stage 1'!$D$13,Lookups!$C$8:$G$49,5,FALSE)))),"Pre-2025 Annual Nutrient Budget",""),"")</f>
        <v/>
      </c>
      <c r="G21" s="278"/>
      <c r="H21" s="120"/>
    </row>
    <row r="22" spans="2:8" ht="15" customHeight="1" x14ac:dyDescent="0.35">
      <c r="B22" s="130"/>
      <c r="C22" s="279" t="s">
        <v>125</v>
      </c>
      <c r="D22" s="281" t="e">
        <f>IF(ROUND(D13,2)&lt;0,0&amp;" kg TP/year",ROUND(D13,2)&amp;" kg TP/year")</f>
        <v>#VALUE!</v>
      </c>
      <c r="E22" s="1"/>
      <c r="F22" s="279" t="str">
        <f>IFERROR(IF(AND('Stage 1'!$D$9&lt;DATE(2025,1,1),OR((VLOOKUP('Stage 1'!$D$13,Lookups!$C$8:$G$49,2,FALSE))&gt;(VLOOKUP('Stage 1'!$D$13,Lookups!$C$8:$G$49,4,FALSE)),(VLOOKUP('Stage 1'!$D$13,Lookups!$C$8:$G$49,3,FALSE))&gt;(VLOOKUP('Stage 1'!$D$13,Lookups!$C$8:$G$49,5,FALSE)))),"The pre-2025 annual phosphorus load to mitigate is:",""),"")</f>
        <v/>
      </c>
      <c r="G22" s="280" t="str">
        <f>IFERROR(IF(AND('Stage 1'!$D$9&lt;DATE(2025,1,1),OR((VLOOKUP('Stage 1'!$D$13,Lookups!$C$8:$G$49,2,FALSE))&gt;(VLOOKUP('Stage 1'!$D$13,Lookups!$C$8:$G$49,4,FALSE)),(VLOOKUP('Stage 1'!$D$13,Lookups!$C$8:$G$49,3,FALSE))&gt;(VLOOKUP('Stage 1'!$D$13,Lookups!$C$8:$G$49,5,FALSE)))),IF(ROUND(('Stage 3'!E27-'Stage 2'!E32+'Stage 1'!H22)*1.2,2)&lt;0,0&amp;" kg TP/year",ROUND(('Stage 3'!E27-'Stage 2'!E32+'Stage 1'!H22)*1.2,2)&amp;" kg TP/year"),""),"")</f>
        <v/>
      </c>
      <c r="H22" s="120"/>
    </row>
    <row r="23" spans="2:8" ht="15" customHeight="1" x14ac:dyDescent="0.35">
      <c r="B23" s="130"/>
      <c r="C23" s="279"/>
      <c r="D23" s="281"/>
      <c r="E23" s="1"/>
      <c r="F23" s="279"/>
      <c r="G23" s="280"/>
      <c r="H23" s="120"/>
    </row>
    <row r="24" spans="2:8" ht="15" customHeight="1" x14ac:dyDescent="0.35">
      <c r="B24" s="130"/>
      <c r="C24" s="279"/>
      <c r="D24" s="281"/>
      <c r="E24" s="1"/>
      <c r="F24" s="279"/>
      <c r="G24" s="280"/>
      <c r="H24" s="120"/>
    </row>
    <row r="25" spans="2:8" ht="15" customHeight="1" x14ac:dyDescent="0.35">
      <c r="B25" s="130"/>
      <c r="C25" s="279"/>
      <c r="D25" s="281"/>
      <c r="E25" s="1"/>
      <c r="F25" s="279"/>
      <c r="G25" s="280"/>
      <c r="H25" s="120"/>
    </row>
    <row r="26" spans="2:8" ht="15" hidden="1" customHeight="1" x14ac:dyDescent="0.35">
      <c r="B26" s="130"/>
      <c r="C26" s="22"/>
      <c r="D26" s="57"/>
      <c r="E26" s="1"/>
      <c r="F26" s="1"/>
      <c r="G26" s="1"/>
      <c r="H26" s="120"/>
    </row>
    <row r="27" spans="2:8" hidden="1" x14ac:dyDescent="0.35">
      <c r="B27" s="130"/>
      <c r="C27" s="22"/>
      <c r="D27" s="57"/>
      <c r="E27" s="1"/>
      <c r="F27" s="85"/>
      <c r="G27" s="1"/>
      <c r="H27" s="120"/>
    </row>
    <row r="28" spans="2:8" ht="15" hidden="1" customHeight="1" x14ac:dyDescent="0.35">
      <c r="B28" s="130"/>
      <c r="C28" s="279" t="s">
        <v>126</v>
      </c>
      <c r="D28" s="281" t="e">
        <f>IF(ROUND(D19,2)&lt;0,0&amp;" kg TN/year",ROUND(D19,2)&amp;" kg TN/year")</f>
        <v>#VALUE!</v>
      </c>
      <c r="E28" s="1"/>
      <c r="F28" s="85"/>
      <c r="G28" s="280" t="str">
        <f>IFERROR(IF(AND('Stage 1'!$D$9&lt;DATE(2025,1,1),OR((VLOOKUP('Stage 1'!$D$13,Lookups!$C$8:$G$49,2,FALSE))&gt;(VLOOKUP('Stage 1'!$D$13,Lookups!$C$8:$G$49,4,FALSE)),(VLOOKUP('Stage 1'!$D$13,Lookups!$C$8:$G$49,3,FALSE))&gt;(VLOOKUP('Stage 1'!$D$13,Lookups!$C$8:$G$49,5,FALSE)))),IF(ROUND(('Stage 3'!F27-'Stage 2'!F32+'Stage 1'!H35)*1.2,2)&lt;0,0&amp;" kg TN/year",ROUND(('Stage 3'!F27-'Stage 2'!F32+'Stage 1'!H35)*1.2,2)&amp;" kg TN/year"),""),"")</f>
        <v/>
      </c>
      <c r="H28" s="120"/>
    </row>
    <row r="29" spans="2:8" ht="15.75" hidden="1" customHeight="1" x14ac:dyDescent="0.35">
      <c r="B29" s="130"/>
      <c r="C29" s="279"/>
      <c r="D29" s="281"/>
      <c r="E29" s="1"/>
      <c r="F29" s="279" t="str">
        <f>IFERROR(IF(AND('Stage 1'!$D$9&lt;DATE(2025,1,1),OR((VLOOKUP('Stage 1'!$D$13,Lookups!$C$8:$G$49,2,FALSE))&gt;(VLOOKUP('Stage 1'!$D$13,Lookups!$C$8:$G$49,4,FALSE)),(VLOOKUP('Stage 1'!$D$13,Lookups!$C$8:$G$49,3,FALSE))&gt;(VLOOKUP('Stage 1'!$D$13,Lookups!$C$8:$G$49,5,FALSE)))),"The pre-2025 annual nitrogen load to mitigate is:",""),"")</f>
        <v/>
      </c>
      <c r="G29" s="280"/>
      <c r="H29" s="120"/>
    </row>
    <row r="30" spans="2:8" ht="15" hidden="1" customHeight="1" x14ac:dyDescent="0.35">
      <c r="B30" s="130"/>
      <c r="C30" s="279"/>
      <c r="D30" s="281"/>
      <c r="E30" s="1"/>
      <c r="F30" s="279"/>
      <c r="G30" s="280"/>
      <c r="H30" s="120"/>
    </row>
    <row r="31" spans="2:8" ht="15.75" hidden="1" customHeight="1" x14ac:dyDescent="0.35">
      <c r="B31" s="130"/>
      <c r="C31" s="279"/>
      <c r="D31" s="281"/>
      <c r="E31" s="1"/>
      <c r="F31" s="279"/>
      <c r="G31" s="280"/>
      <c r="H31" s="120"/>
    </row>
    <row r="32" spans="2:8" ht="15" thickBot="1" x14ac:dyDescent="0.4">
      <c r="B32" s="146"/>
      <c r="C32" s="133"/>
      <c r="D32" s="133"/>
      <c r="E32" s="133"/>
      <c r="F32" s="133"/>
      <c r="G32" s="133"/>
      <c r="H32" s="134"/>
    </row>
    <row r="33" ht="15" thickTop="1" x14ac:dyDescent="0.35"/>
  </sheetData>
  <sheetProtection algorithmName="SHA-512" hashValue="QW93GMX0naRR1GZ2Y1b6sB2NpMWo9besw5gQAFpTsauN7eA0P3e96KEHOnWKbZE0AY8dtzYqvnNmlE2HCiO4rQ==" saltValue="ld2rO0DEUcSN63yKzTcl1g==" spinCount="100000" sheet="1" selectLockedCells="1"/>
  <mergeCells count="12">
    <mergeCell ref="B3:H5"/>
    <mergeCell ref="C7:D7"/>
    <mergeCell ref="F21:G21"/>
    <mergeCell ref="F22:F25"/>
    <mergeCell ref="F29:F31"/>
    <mergeCell ref="G22:G25"/>
    <mergeCell ref="G28:G31"/>
    <mergeCell ref="C22:C25"/>
    <mergeCell ref="C28:C31"/>
    <mergeCell ref="D22:D25"/>
    <mergeCell ref="D28:D31"/>
    <mergeCell ref="C21:D21"/>
  </mergeCells>
  <conditionalFormatting sqref="G22:G25">
    <cfRule type="expression" dxfId="1" priority="2">
      <formula>($C$21="Post-2025 Annual Nutrient Budget")</formula>
    </cfRule>
  </conditionalFormatting>
  <conditionalFormatting sqref="G28:G31">
    <cfRule type="expression" dxfId="0" priority="1">
      <formula>($C$21="Post-2025 Annual Nutrient Budget")</formula>
    </cfRule>
  </conditionalFormatting>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J9:J11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546A1-C6EE-4AA8-8A3A-C1EBF31A9FD9}">
  <sheetPr codeName="Sheet10"/>
  <dimension ref="B6:K33"/>
  <sheetViews>
    <sheetView topLeftCell="A10" workbookViewId="0">
      <selection activeCell="C16" sqref="C16"/>
    </sheetView>
  </sheetViews>
  <sheetFormatPr defaultColWidth="9.1796875" defaultRowHeight="14.5" x14ac:dyDescent="0.35"/>
  <cols>
    <col min="1" max="1" width="9.1796875" style="1"/>
    <col min="2" max="2" width="27.81640625" style="1" customWidth="1"/>
    <col min="3" max="3" width="26.81640625" style="1" customWidth="1"/>
    <col min="4" max="4" width="9.1796875" style="1"/>
    <col min="5" max="5" width="15" style="1" customWidth="1"/>
    <col min="6" max="6" width="12.54296875" style="1" customWidth="1"/>
    <col min="7" max="9" width="9.1796875" style="1"/>
    <col min="10" max="10" width="7.1796875" style="1" customWidth="1"/>
    <col min="11" max="16384" width="9.1796875" style="1"/>
  </cols>
  <sheetData>
    <row r="6" spans="2:11" ht="16.5" x14ac:dyDescent="0.35">
      <c r="K6" s="6"/>
    </row>
    <row r="7" spans="2:11" ht="18" customHeight="1" x14ac:dyDescent="0.5">
      <c r="F7" s="4"/>
      <c r="G7" s="5"/>
      <c r="H7" s="5"/>
      <c r="I7" s="4"/>
      <c r="K7" s="7"/>
    </row>
    <row r="8" spans="2:11" ht="12" customHeight="1" x14ac:dyDescent="0.5">
      <c r="F8" s="3"/>
      <c r="G8" s="3"/>
      <c r="H8" s="3"/>
      <c r="I8" s="9"/>
      <c r="K8" s="7"/>
    </row>
    <row r="9" spans="2:11" ht="17" thickBot="1" x14ac:dyDescent="0.55000000000000004">
      <c r="B9" s="14" t="s">
        <v>117</v>
      </c>
      <c r="D9" s="22"/>
      <c r="E9" s="279" t="s">
        <v>127</v>
      </c>
      <c r="G9" s="3"/>
      <c r="H9" s="3"/>
      <c r="I9" s="9"/>
      <c r="K9" s="7"/>
    </row>
    <row r="10" spans="2:11" ht="21" customHeight="1" thickTop="1" thickBot="1" x14ac:dyDescent="0.55000000000000004">
      <c r="B10" s="15" t="s">
        <v>118</v>
      </c>
      <c r="D10" s="24"/>
      <c r="E10" s="279"/>
      <c r="G10" s="3"/>
      <c r="H10" s="3" t="s">
        <v>128</v>
      </c>
      <c r="I10" s="9"/>
      <c r="J10" s="6"/>
      <c r="K10" s="8"/>
    </row>
    <row r="11" spans="2:11" ht="17.5" thickTop="1" thickBot="1" x14ac:dyDescent="0.4">
      <c r="B11" s="16" t="s">
        <v>119</v>
      </c>
      <c r="D11" s="25"/>
      <c r="E11" s="279"/>
      <c r="G11" s="7"/>
      <c r="H11" s="7" t="e">
        <f>IF(C33&lt;0,"Well done, you're in the clear…,""")</f>
        <v>#VALUE!</v>
      </c>
      <c r="I11" s="7"/>
      <c r="J11" s="7"/>
      <c r="K11" s="8"/>
    </row>
    <row r="12" spans="2:11" ht="29.25" customHeight="1" thickTop="1" x14ac:dyDescent="0.35">
      <c r="B12" s="17" t="s">
        <v>120</v>
      </c>
      <c r="D12" s="26"/>
      <c r="E12" s="279"/>
      <c r="G12" s="8"/>
      <c r="H12" s="8" t="s">
        <v>129</v>
      </c>
      <c r="I12" s="8"/>
      <c r="J12" s="8"/>
    </row>
    <row r="13" spans="2:11" ht="11.25" customHeight="1" x14ac:dyDescent="0.35">
      <c r="B13" s="22"/>
      <c r="C13" s="22"/>
      <c r="D13" s="22"/>
      <c r="E13" s="22"/>
      <c r="F13" s="57"/>
    </row>
    <row r="14" spans="2:11" x14ac:dyDescent="0.35">
      <c r="B14" s="22"/>
      <c r="C14" s="22"/>
      <c r="D14" s="22"/>
      <c r="E14" s="22"/>
      <c r="F14" s="57"/>
    </row>
    <row r="15" spans="2:11" ht="15" thickBot="1" x14ac:dyDescent="0.4">
      <c r="B15" s="14" t="s">
        <v>121</v>
      </c>
      <c r="C15" s="54" t="str">
        <f>'Stage 1'!D34</f>
        <v/>
      </c>
      <c r="D15" s="22"/>
      <c r="E15" s="279" t="s">
        <v>130</v>
      </c>
    </row>
    <row r="16" spans="2:11" ht="15.5" thickTop="1" thickBot="1" x14ac:dyDescent="0.4">
      <c r="B16" s="15" t="s">
        <v>122</v>
      </c>
      <c r="C16" s="23">
        <f>'Stage 3'!F27-'Stage 2'!F32</f>
        <v>0</v>
      </c>
      <c r="D16" s="22"/>
      <c r="E16" s="279"/>
    </row>
    <row r="17" spans="2:6" ht="15.5" thickTop="1" thickBot="1" x14ac:dyDescent="0.4">
      <c r="B17" s="16" t="s">
        <v>123</v>
      </c>
      <c r="C17" s="55" t="e">
        <f>C15+C16</f>
        <v>#VALUE!</v>
      </c>
      <c r="D17" s="18"/>
      <c r="E17" s="279"/>
    </row>
    <row r="18" spans="2:6" ht="15" thickTop="1" x14ac:dyDescent="0.35">
      <c r="B18" s="17" t="s">
        <v>124</v>
      </c>
      <c r="C18" s="56" t="e">
        <f>C17*1.2</f>
        <v>#VALUE!</v>
      </c>
      <c r="D18" s="18"/>
      <c r="E18" s="279"/>
    </row>
    <row r="19" spans="2:6" ht="16.5" x14ac:dyDescent="0.35">
      <c r="B19" s="9"/>
      <c r="C19" s="11"/>
      <c r="D19" s="12"/>
    </row>
    <row r="20" spans="2:6" ht="16.5" x14ac:dyDescent="0.35">
      <c r="B20" s="9"/>
      <c r="C20" s="11"/>
      <c r="D20" s="12"/>
    </row>
    <row r="21" spans="2:6" ht="16.5" x14ac:dyDescent="0.35">
      <c r="B21" s="9"/>
      <c r="C21" s="12"/>
      <c r="D21" s="12"/>
    </row>
    <row r="22" spans="2:6" ht="16.5" x14ac:dyDescent="0.35">
      <c r="B22" s="10"/>
      <c r="C22" s="13"/>
      <c r="D22" s="13"/>
    </row>
    <row r="24" spans="2:6" ht="15" thickBot="1" x14ac:dyDescent="0.4">
      <c r="C24" s="54" t="str">
        <f>'Stage 1'!D29</f>
        <v/>
      </c>
      <c r="F24" s="281" t="e">
        <f>C33</f>
        <v>#VALUE!</v>
      </c>
    </row>
    <row r="25" spans="2:6" ht="15" thickTop="1" x14ac:dyDescent="0.35">
      <c r="F25" s="281"/>
    </row>
    <row r="26" spans="2:6" x14ac:dyDescent="0.35">
      <c r="F26" s="281"/>
    </row>
    <row r="27" spans="2:6" ht="15" thickBot="1" x14ac:dyDescent="0.4">
      <c r="C27" s="23">
        <f>'Stage 3'!E27-'Stage 2'!E32</f>
        <v>0</v>
      </c>
      <c r="F27" s="281"/>
    </row>
    <row r="28" spans="2:6" ht="15" thickTop="1" x14ac:dyDescent="0.35"/>
    <row r="29" spans="2:6" ht="15" thickBot="1" x14ac:dyDescent="0.4">
      <c r="F29" s="281" t="e">
        <f>C18</f>
        <v>#VALUE!</v>
      </c>
    </row>
    <row r="30" spans="2:6" ht="15.5" thickTop="1" thickBot="1" x14ac:dyDescent="0.4">
      <c r="C30" s="55" t="e">
        <f>C24+C27</f>
        <v>#VALUE!</v>
      </c>
      <c r="F30" s="281"/>
    </row>
    <row r="31" spans="2:6" ht="15" thickTop="1" x14ac:dyDescent="0.35">
      <c r="F31" s="281"/>
    </row>
    <row r="32" spans="2:6" ht="15" thickBot="1" x14ac:dyDescent="0.4">
      <c r="F32" s="281"/>
    </row>
    <row r="33" spans="3:3" ht="15" thickTop="1" x14ac:dyDescent="0.35">
      <c r="C33" s="56" t="e">
        <f>C30*1.2</f>
        <v>#VALUE!</v>
      </c>
    </row>
  </sheetData>
  <mergeCells count="4">
    <mergeCell ref="E9:E12"/>
    <mergeCell ref="F24:F27"/>
    <mergeCell ref="E15:E18"/>
    <mergeCell ref="F29:F3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C07F3CA5-F800-43D1-83B8-FCADDD9BAC80}">
          <x14:formula1>
            <xm:f>'C:\Users\DS56\OneDrive - Ricardo Plc\NE NN\[Copy of Herefordshire Council Phosphate Budget Calculator_Final.xlsx]Stage 2 and 3 lookups'!#REF!</xm:f>
          </x14:formula1>
          <xm:sqref>I8:I10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sheetPr codeName="Sheet11"/>
  <dimension ref="B1:P261"/>
  <sheetViews>
    <sheetView showRowColHeaders="0" zoomScale="85" zoomScaleNormal="85" workbookViewId="0"/>
  </sheetViews>
  <sheetFormatPr defaultColWidth="9.1796875" defaultRowHeight="14.5" x14ac:dyDescent="0.35"/>
  <cols>
    <col min="1" max="1" width="9.1796875" style="135"/>
    <col min="2" max="2" width="4.81640625" style="135" customWidth="1"/>
    <col min="3" max="3" width="44.453125" style="135" bestFit="1" customWidth="1"/>
    <col min="4" max="4" width="31.26953125" style="135" bestFit="1" customWidth="1"/>
    <col min="5" max="5" width="34" style="135" customWidth="1"/>
    <col min="6" max="6" width="31.54296875" style="135" customWidth="1"/>
    <col min="7" max="7" width="41.81640625" style="135" customWidth="1"/>
    <col min="8" max="8" width="63" style="135" customWidth="1"/>
    <col min="9" max="9" width="46.54296875" style="135" customWidth="1"/>
    <col min="10" max="10" width="39.81640625" style="135" bestFit="1" customWidth="1"/>
    <col min="11" max="11" width="36.81640625" style="135" customWidth="1"/>
    <col min="12" max="12" width="38.1796875" style="135" bestFit="1" customWidth="1"/>
    <col min="13" max="15" width="28" style="135" customWidth="1"/>
    <col min="16" max="16" width="9" style="135" customWidth="1"/>
    <col min="17" max="16384" width="9.1796875" style="135"/>
  </cols>
  <sheetData>
    <row r="1" spans="2:16" ht="35.25" customHeight="1" thickBot="1" x14ac:dyDescent="0.4"/>
    <row r="2" spans="2:16" ht="15" thickTop="1" x14ac:dyDescent="0.35">
      <c r="B2" s="275" t="s">
        <v>131</v>
      </c>
      <c r="C2" s="276"/>
      <c r="D2" s="276"/>
      <c r="E2" s="276"/>
      <c r="F2" s="276"/>
      <c r="G2" s="276"/>
      <c r="H2" s="276"/>
      <c r="I2" s="276"/>
      <c r="J2" s="276"/>
      <c r="K2" s="276"/>
      <c r="L2" s="276"/>
      <c r="M2" s="276"/>
      <c r="N2" s="276"/>
      <c r="O2" s="276"/>
      <c r="P2" s="277"/>
    </row>
    <row r="3" spans="2:16" x14ac:dyDescent="0.35">
      <c r="B3" s="265"/>
      <c r="C3" s="266"/>
      <c r="D3" s="266"/>
      <c r="E3" s="266"/>
      <c r="F3" s="266"/>
      <c r="G3" s="266"/>
      <c r="H3" s="266"/>
      <c r="I3" s="266"/>
      <c r="J3" s="266"/>
      <c r="K3" s="266"/>
      <c r="L3" s="266"/>
      <c r="M3" s="266"/>
      <c r="N3" s="266"/>
      <c r="O3" s="266"/>
      <c r="P3" s="267"/>
    </row>
    <row r="4" spans="2:16" x14ac:dyDescent="0.35">
      <c r="B4" s="265"/>
      <c r="C4" s="266"/>
      <c r="D4" s="266"/>
      <c r="E4" s="266"/>
      <c r="F4" s="266"/>
      <c r="G4" s="266"/>
      <c r="H4" s="266"/>
      <c r="I4" s="266"/>
      <c r="J4" s="266"/>
      <c r="K4" s="266"/>
      <c r="L4" s="266"/>
      <c r="M4" s="266"/>
      <c r="N4" s="266"/>
      <c r="O4" s="266"/>
      <c r="P4" s="267"/>
    </row>
    <row r="5" spans="2:16" x14ac:dyDescent="0.35">
      <c r="B5" s="130"/>
      <c r="C5" s="22"/>
      <c r="D5" s="22"/>
      <c r="E5" s="22"/>
      <c r="F5" s="22"/>
      <c r="G5" s="22"/>
      <c r="H5" s="22"/>
      <c r="I5" s="1"/>
      <c r="J5" s="22"/>
      <c r="K5" s="22"/>
      <c r="L5" s="22"/>
      <c r="M5" s="22"/>
      <c r="N5" s="22"/>
      <c r="O5" s="22"/>
      <c r="P5" s="132"/>
    </row>
    <row r="6" spans="2:16" x14ac:dyDescent="0.35">
      <c r="B6" s="130"/>
      <c r="C6" s="22" t="s">
        <v>132</v>
      </c>
      <c r="D6" s="1"/>
      <c r="E6" s="22"/>
      <c r="F6" s="22"/>
      <c r="G6" s="22"/>
      <c r="H6" s="22"/>
      <c r="I6" s="1"/>
      <c r="J6" s="22"/>
      <c r="K6" s="22"/>
      <c r="L6" s="22"/>
      <c r="M6" s="22"/>
      <c r="N6" s="22"/>
      <c r="O6" s="22"/>
      <c r="P6" s="132"/>
    </row>
    <row r="7" spans="2:16" ht="33.75" customHeight="1" thickBot="1" x14ac:dyDescent="0.4">
      <c r="B7" s="130"/>
      <c r="C7" s="33" t="s">
        <v>133</v>
      </c>
      <c r="D7" s="47" t="s">
        <v>134</v>
      </c>
      <c r="E7" s="47" t="s">
        <v>135</v>
      </c>
      <c r="F7" s="47" t="s">
        <v>136</v>
      </c>
      <c r="G7" s="129" t="s">
        <v>137</v>
      </c>
      <c r="H7" s="27"/>
      <c r="I7" s="182"/>
      <c r="J7" s="27"/>
      <c r="K7" s="27"/>
      <c r="L7" s="27"/>
      <c r="M7" s="27"/>
      <c r="N7" s="27"/>
      <c r="O7" s="27"/>
      <c r="P7" s="132"/>
    </row>
    <row r="8" spans="2:16" ht="15" thickTop="1" x14ac:dyDescent="0.35">
      <c r="B8" s="130"/>
      <c r="C8" s="183" t="s">
        <v>138</v>
      </c>
      <c r="D8" s="44">
        <v>1</v>
      </c>
      <c r="E8" s="44">
        <v>27</v>
      </c>
      <c r="F8" s="44">
        <v>1</v>
      </c>
      <c r="G8" s="38">
        <v>27</v>
      </c>
      <c r="H8" s="27"/>
      <c r="I8" s="182"/>
      <c r="J8" s="27"/>
      <c r="K8" s="27"/>
      <c r="L8" s="27"/>
      <c r="M8" s="27"/>
      <c r="N8" s="27"/>
      <c r="O8" s="27"/>
      <c r="P8" s="132"/>
    </row>
    <row r="9" spans="2:16" x14ac:dyDescent="0.35">
      <c r="B9" s="130"/>
      <c r="C9" s="183" t="s">
        <v>139</v>
      </c>
      <c r="D9" s="44">
        <v>1</v>
      </c>
      <c r="E9" s="44">
        <v>27</v>
      </c>
      <c r="F9" s="44">
        <v>1</v>
      </c>
      <c r="G9" s="38">
        <v>27</v>
      </c>
      <c r="H9" s="27"/>
      <c r="I9" s="182"/>
      <c r="J9" s="27"/>
      <c r="K9" s="27"/>
      <c r="L9" s="27"/>
      <c r="M9" s="27"/>
      <c r="N9" s="27"/>
      <c r="O9" s="27"/>
      <c r="P9" s="132"/>
    </row>
    <row r="10" spans="2:16" x14ac:dyDescent="0.35">
      <c r="B10" s="130"/>
      <c r="C10" s="183" t="s">
        <v>140</v>
      </c>
      <c r="D10" s="44">
        <v>2</v>
      </c>
      <c r="E10" s="44">
        <v>27</v>
      </c>
      <c r="F10" s="44">
        <v>2</v>
      </c>
      <c r="G10" s="38">
        <v>27</v>
      </c>
      <c r="H10" s="27"/>
      <c r="I10" s="182"/>
      <c r="J10" s="27"/>
      <c r="K10" s="27"/>
      <c r="L10" s="27"/>
      <c r="M10" s="27"/>
      <c r="N10" s="27"/>
      <c r="O10" s="27"/>
      <c r="P10" s="132"/>
    </row>
    <row r="11" spans="2:16" x14ac:dyDescent="0.35">
      <c r="B11" s="130"/>
      <c r="C11" s="183" t="s">
        <v>141</v>
      </c>
      <c r="D11" s="44">
        <v>8</v>
      </c>
      <c r="E11" s="44">
        <v>27</v>
      </c>
      <c r="F11" s="44">
        <v>8</v>
      </c>
      <c r="G11" s="38">
        <v>27</v>
      </c>
      <c r="H11" s="27"/>
      <c r="I11" s="182"/>
      <c r="J11" s="27"/>
      <c r="K11" s="27"/>
      <c r="L11" s="27"/>
      <c r="M11" s="27"/>
      <c r="N11" s="27"/>
      <c r="O11" s="27"/>
      <c r="P11" s="132"/>
    </row>
    <row r="12" spans="2:16" x14ac:dyDescent="0.35">
      <c r="B12" s="130"/>
      <c r="C12" s="183" t="s">
        <v>142</v>
      </c>
      <c r="D12" s="44">
        <v>8</v>
      </c>
      <c r="E12" s="44">
        <v>27</v>
      </c>
      <c r="F12" s="44">
        <v>8</v>
      </c>
      <c r="G12" s="38">
        <v>27</v>
      </c>
      <c r="H12" s="27"/>
      <c r="I12" s="182"/>
      <c r="J12" s="27"/>
      <c r="K12" s="27"/>
      <c r="L12" s="27"/>
      <c r="M12" s="27"/>
      <c r="N12" s="27"/>
      <c r="O12" s="27"/>
      <c r="P12" s="132"/>
    </row>
    <row r="13" spans="2:16" x14ac:dyDescent="0.35">
      <c r="B13" s="130"/>
      <c r="C13" s="183" t="s">
        <v>143</v>
      </c>
      <c r="D13" s="44">
        <v>8</v>
      </c>
      <c r="E13" s="44">
        <v>27</v>
      </c>
      <c r="F13" s="44">
        <v>8</v>
      </c>
      <c r="G13" s="38">
        <v>27</v>
      </c>
      <c r="H13" s="27"/>
      <c r="I13" s="182"/>
      <c r="J13" s="27"/>
      <c r="K13" s="27"/>
      <c r="L13" s="27"/>
      <c r="M13" s="27"/>
      <c r="N13" s="27"/>
      <c r="O13" s="27"/>
      <c r="P13" s="132"/>
    </row>
    <row r="14" spans="2:16" x14ac:dyDescent="0.35">
      <c r="B14" s="130"/>
      <c r="C14" s="183" t="s">
        <v>144</v>
      </c>
      <c r="D14" s="44">
        <v>8</v>
      </c>
      <c r="E14" s="44">
        <v>27</v>
      </c>
      <c r="F14" s="44">
        <v>8</v>
      </c>
      <c r="G14" s="38">
        <v>27</v>
      </c>
      <c r="H14" s="27"/>
      <c r="I14" s="182"/>
      <c r="J14" s="27"/>
      <c r="K14" s="27"/>
      <c r="L14" s="27"/>
      <c r="M14" s="27"/>
      <c r="N14" s="27"/>
      <c r="O14" s="27"/>
      <c r="P14" s="132"/>
    </row>
    <row r="15" spans="2:16" x14ac:dyDescent="0.35">
      <c r="B15" s="130"/>
      <c r="C15" s="183" t="s">
        <v>145</v>
      </c>
      <c r="D15" s="44">
        <v>8</v>
      </c>
      <c r="E15" s="44">
        <v>27</v>
      </c>
      <c r="F15" s="44">
        <v>8</v>
      </c>
      <c r="G15" s="38">
        <v>27</v>
      </c>
      <c r="H15" s="27"/>
      <c r="I15" s="182"/>
      <c r="J15" s="27"/>
      <c r="K15" s="27"/>
      <c r="L15" s="27"/>
      <c r="M15" s="27"/>
      <c r="N15" s="27"/>
      <c r="O15" s="27"/>
      <c r="P15" s="132"/>
    </row>
    <row r="16" spans="2:16" x14ac:dyDescent="0.35">
      <c r="B16" s="130"/>
      <c r="C16" s="183" t="s">
        <v>146</v>
      </c>
      <c r="D16" s="44">
        <v>8</v>
      </c>
      <c r="E16" s="44">
        <v>27</v>
      </c>
      <c r="F16" s="44">
        <v>8</v>
      </c>
      <c r="G16" s="38">
        <v>27</v>
      </c>
      <c r="H16" s="27"/>
      <c r="I16" s="182"/>
      <c r="J16" s="27"/>
      <c r="K16" s="27"/>
      <c r="L16" s="27"/>
      <c r="M16" s="27"/>
      <c r="N16" s="27"/>
      <c r="O16" s="27"/>
      <c r="P16" s="132"/>
    </row>
    <row r="17" spans="2:16" x14ac:dyDescent="0.35">
      <c r="B17" s="130"/>
      <c r="C17" s="183" t="s">
        <v>147</v>
      </c>
      <c r="D17" s="44">
        <v>1</v>
      </c>
      <c r="E17" s="44">
        <v>27</v>
      </c>
      <c r="F17" s="44">
        <v>1</v>
      </c>
      <c r="G17" s="38">
        <v>27</v>
      </c>
      <c r="H17" s="27"/>
      <c r="I17" s="182"/>
      <c r="J17" s="27"/>
      <c r="K17" s="27"/>
      <c r="L17" s="27"/>
      <c r="M17" s="27"/>
      <c r="N17" s="27"/>
      <c r="O17" s="27"/>
      <c r="P17" s="132"/>
    </row>
    <row r="18" spans="2:16" x14ac:dyDescent="0.35">
      <c r="B18" s="130"/>
      <c r="C18" s="183" t="s">
        <v>148</v>
      </c>
      <c r="D18" s="44">
        <v>1</v>
      </c>
      <c r="E18" s="44">
        <v>27</v>
      </c>
      <c r="F18" s="44">
        <v>1</v>
      </c>
      <c r="G18" s="38">
        <v>27</v>
      </c>
      <c r="H18" s="27"/>
      <c r="I18" s="182"/>
      <c r="J18" s="27"/>
      <c r="K18" s="27"/>
      <c r="L18" s="27"/>
      <c r="M18" s="27"/>
      <c r="N18" s="27"/>
      <c r="O18" s="27"/>
      <c r="P18" s="132"/>
    </row>
    <row r="19" spans="2:16" x14ac:dyDescent="0.35">
      <c r="B19" s="130"/>
      <c r="C19" s="183" t="s">
        <v>149</v>
      </c>
      <c r="D19" s="44">
        <v>8</v>
      </c>
      <c r="E19" s="44">
        <v>27</v>
      </c>
      <c r="F19" s="44">
        <v>8</v>
      </c>
      <c r="G19" s="38">
        <v>27</v>
      </c>
      <c r="H19" s="27"/>
      <c r="I19" s="182"/>
      <c r="J19" s="27"/>
      <c r="K19" s="27"/>
      <c r="L19" s="27"/>
      <c r="M19" s="27"/>
      <c r="N19" s="27"/>
      <c r="O19" s="27"/>
      <c r="P19" s="132"/>
    </row>
    <row r="20" spans="2:16" x14ac:dyDescent="0.35">
      <c r="B20" s="130"/>
      <c r="C20" s="183" t="s">
        <v>150</v>
      </c>
      <c r="D20" s="44">
        <v>8</v>
      </c>
      <c r="E20" s="44">
        <v>27</v>
      </c>
      <c r="F20" s="44">
        <v>8</v>
      </c>
      <c r="G20" s="38">
        <v>27</v>
      </c>
      <c r="H20" s="27"/>
      <c r="I20" s="182"/>
      <c r="J20" s="27"/>
      <c r="K20" s="27"/>
      <c r="L20" s="27"/>
      <c r="M20" s="27"/>
      <c r="N20" s="27"/>
      <c r="O20" s="27"/>
      <c r="P20" s="132"/>
    </row>
    <row r="21" spans="2:16" x14ac:dyDescent="0.35">
      <c r="B21" s="130"/>
      <c r="C21" s="183" t="s">
        <v>151</v>
      </c>
      <c r="D21" s="44">
        <v>1</v>
      </c>
      <c r="E21" s="44">
        <v>27</v>
      </c>
      <c r="F21" s="44">
        <v>1</v>
      </c>
      <c r="G21" s="38">
        <v>27</v>
      </c>
      <c r="H21" s="27"/>
      <c r="I21" s="182"/>
      <c r="J21" s="27"/>
      <c r="K21" s="27"/>
      <c r="L21" s="27"/>
      <c r="M21" s="27"/>
      <c r="N21" s="27"/>
      <c r="O21" s="27"/>
      <c r="P21" s="132"/>
    </row>
    <row r="22" spans="2:16" x14ac:dyDescent="0.35">
      <c r="B22" s="130"/>
      <c r="C22" s="183" t="s">
        <v>152</v>
      </c>
      <c r="D22" s="44">
        <v>1</v>
      </c>
      <c r="E22" s="44">
        <v>27</v>
      </c>
      <c r="F22" s="44">
        <v>1</v>
      </c>
      <c r="G22" s="38">
        <v>27</v>
      </c>
      <c r="H22" s="27"/>
      <c r="I22" s="182"/>
      <c r="J22" s="27"/>
      <c r="K22" s="27"/>
      <c r="L22" s="27"/>
      <c r="M22" s="27"/>
      <c r="N22" s="27"/>
      <c r="O22" s="27"/>
      <c r="P22" s="132"/>
    </row>
    <row r="23" spans="2:16" x14ac:dyDescent="0.35">
      <c r="B23" s="130"/>
      <c r="C23" s="183" t="s">
        <v>153</v>
      </c>
      <c r="D23" s="44">
        <v>8</v>
      </c>
      <c r="E23" s="44">
        <v>27</v>
      </c>
      <c r="F23" s="44">
        <v>8</v>
      </c>
      <c r="G23" s="38">
        <v>27</v>
      </c>
      <c r="H23" s="27"/>
      <c r="I23" s="182"/>
      <c r="J23" s="27"/>
      <c r="K23" s="27"/>
      <c r="L23" s="27"/>
      <c r="M23" s="27"/>
      <c r="N23" s="27"/>
      <c r="O23" s="27"/>
      <c r="P23" s="132"/>
    </row>
    <row r="24" spans="2:16" x14ac:dyDescent="0.35">
      <c r="B24" s="130"/>
      <c r="C24" s="183" t="s">
        <v>154</v>
      </c>
      <c r="D24" s="44">
        <v>1</v>
      </c>
      <c r="E24" s="44">
        <v>27</v>
      </c>
      <c r="F24" s="44">
        <v>1</v>
      </c>
      <c r="G24" s="38">
        <v>27</v>
      </c>
      <c r="H24" s="27"/>
      <c r="I24" s="182"/>
      <c r="J24" s="27"/>
      <c r="K24" s="27"/>
      <c r="L24" s="27"/>
      <c r="M24" s="27"/>
      <c r="N24" s="27"/>
      <c r="O24" s="27"/>
      <c r="P24" s="132"/>
    </row>
    <row r="25" spans="2:16" x14ac:dyDescent="0.35">
      <c r="B25" s="130"/>
      <c r="C25" s="183" t="s">
        <v>155</v>
      </c>
      <c r="D25" s="44">
        <v>8</v>
      </c>
      <c r="E25" s="44">
        <v>27</v>
      </c>
      <c r="F25" s="44">
        <v>8</v>
      </c>
      <c r="G25" s="38">
        <v>27</v>
      </c>
      <c r="H25" s="27"/>
      <c r="I25" s="182"/>
      <c r="J25" s="27"/>
      <c r="K25" s="27"/>
      <c r="L25" s="27"/>
      <c r="M25" s="27"/>
      <c r="N25" s="27"/>
      <c r="O25" s="27"/>
      <c r="P25" s="132"/>
    </row>
    <row r="26" spans="2:16" x14ac:dyDescent="0.35">
      <c r="B26" s="130"/>
      <c r="C26" s="183" t="s">
        <v>156</v>
      </c>
      <c r="D26" s="44">
        <v>1</v>
      </c>
      <c r="E26" s="44">
        <v>27</v>
      </c>
      <c r="F26" s="44">
        <v>1</v>
      </c>
      <c r="G26" s="38">
        <v>27</v>
      </c>
      <c r="H26" s="27"/>
      <c r="I26" s="182"/>
      <c r="J26" s="27"/>
      <c r="K26" s="27"/>
      <c r="L26" s="27"/>
      <c r="M26" s="27"/>
      <c r="N26" s="27"/>
      <c r="O26" s="27"/>
      <c r="P26" s="132"/>
    </row>
    <row r="27" spans="2:16" x14ac:dyDescent="0.35">
      <c r="B27" s="130"/>
      <c r="C27" s="183" t="s">
        <v>157</v>
      </c>
      <c r="D27" s="44">
        <v>8</v>
      </c>
      <c r="E27" s="44">
        <v>27</v>
      </c>
      <c r="F27" s="44">
        <v>8</v>
      </c>
      <c r="G27" s="38">
        <v>27</v>
      </c>
      <c r="H27" s="27"/>
      <c r="I27" s="182"/>
      <c r="J27" s="27"/>
      <c r="K27" s="27"/>
      <c r="L27" s="27"/>
      <c r="M27" s="27"/>
      <c r="N27" s="27"/>
      <c r="O27" s="27"/>
      <c r="P27" s="132"/>
    </row>
    <row r="28" spans="2:16" x14ac:dyDescent="0.35">
      <c r="B28" s="130"/>
      <c r="C28" s="183" t="s">
        <v>158</v>
      </c>
      <c r="D28" s="44">
        <v>2</v>
      </c>
      <c r="E28" s="44">
        <v>27</v>
      </c>
      <c r="F28" s="44">
        <v>2</v>
      </c>
      <c r="G28" s="38">
        <v>27</v>
      </c>
      <c r="H28" s="27"/>
      <c r="I28" s="182"/>
      <c r="J28" s="27"/>
      <c r="K28" s="27"/>
      <c r="L28" s="27"/>
      <c r="M28" s="27"/>
      <c r="N28" s="27"/>
      <c r="O28" s="27"/>
      <c r="P28" s="132"/>
    </row>
    <row r="29" spans="2:16" x14ac:dyDescent="0.35">
      <c r="B29" s="130"/>
      <c r="C29" s="183" t="s">
        <v>159</v>
      </c>
      <c r="D29" s="44">
        <v>8</v>
      </c>
      <c r="E29" s="44">
        <v>27</v>
      </c>
      <c r="F29" s="44">
        <v>8</v>
      </c>
      <c r="G29" s="38">
        <v>27</v>
      </c>
      <c r="H29" s="27"/>
      <c r="I29" s="182"/>
      <c r="J29" s="27"/>
      <c r="K29" s="27"/>
      <c r="L29" s="27"/>
      <c r="M29" s="27"/>
      <c r="N29" s="27"/>
      <c r="O29" s="27"/>
      <c r="P29" s="132"/>
    </row>
    <row r="30" spans="2:16" x14ac:dyDescent="0.35">
      <c r="B30" s="130"/>
      <c r="C30" s="183" t="s">
        <v>160</v>
      </c>
      <c r="D30" s="44">
        <v>8</v>
      </c>
      <c r="E30" s="44">
        <v>27</v>
      </c>
      <c r="F30" s="44">
        <v>8</v>
      </c>
      <c r="G30" s="38">
        <v>27</v>
      </c>
      <c r="H30" s="27"/>
      <c r="I30" s="182"/>
      <c r="J30" s="27"/>
      <c r="K30" s="27"/>
      <c r="L30" s="27"/>
      <c r="M30" s="27"/>
      <c r="N30" s="27"/>
      <c r="O30" s="27"/>
      <c r="P30" s="132"/>
    </row>
    <row r="31" spans="2:16" x14ac:dyDescent="0.35">
      <c r="B31" s="130"/>
      <c r="C31" s="183" t="s">
        <v>161</v>
      </c>
      <c r="D31" s="44">
        <v>1</v>
      </c>
      <c r="E31" s="44">
        <v>27</v>
      </c>
      <c r="F31" s="44">
        <v>1</v>
      </c>
      <c r="G31" s="38">
        <v>27</v>
      </c>
      <c r="H31" s="27"/>
      <c r="I31" s="182"/>
      <c r="J31" s="27"/>
      <c r="K31" s="27"/>
      <c r="L31" s="27"/>
      <c r="M31" s="27"/>
      <c r="N31" s="27"/>
      <c r="O31" s="27"/>
      <c r="P31" s="132"/>
    </row>
    <row r="32" spans="2:16" x14ac:dyDescent="0.35">
      <c r="B32" s="130"/>
      <c r="C32" s="183" t="s">
        <v>162</v>
      </c>
      <c r="D32" s="44">
        <v>1</v>
      </c>
      <c r="E32" s="44">
        <v>27</v>
      </c>
      <c r="F32" s="44">
        <v>1</v>
      </c>
      <c r="G32" s="38">
        <v>27</v>
      </c>
      <c r="H32" s="27"/>
      <c r="I32" s="182"/>
      <c r="J32" s="27"/>
      <c r="K32" s="27"/>
      <c r="L32" s="27"/>
      <c r="M32" s="27"/>
      <c r="N32" s="27"/>
      <c r="O32" s="27"/>
      <c r="P32" s="132"/>
    </row>
    <row r="33" spans="2:16" x14ac:dyDescent="0.35">
      <c r="B33" s="130"/>
      <c r="C33" s="183" t="s">
        <v>163</v>
      </c>
      <c r="D33" s="44">
        <v>1</v>
      </c>
      <c r="E33" s="44">
        <v>27</v>
      </c>
      <c r="F33" s="44">
        <v>1</v>
      </c>
      <c r="G33" s="38">
        <v>27</v>
      </c>
      <c r="H33" s="27"/>
      <c r="I33" s="182"/>
      <c r="J33" s="27"/>
      <c r="K33" s="27"/>
      <c r="L33" s="27"/>
      <c r="M33" s="27"/>
      <c r="N33" s="27"/>
      <c r="O33" s="27"/>
      <c r="P33" s="132"/>
    </row>
    <row r="34" spans="2:16" x14ac:dyDescent="0.35">
      <c r="B34" s="130"/>
      <c r="C34" s="183" t="s">
        <v>164</v>
      </c>
      <c r="D34" s="44">
        <v>1</v>
      </c>
      <c r="E34" s="44">
        <v>27</v>
      </c>
      <c r="F34" s="44">
        <v>1</v>
      </c>
      <c r="G34" s="38">
        <v>27</v>
      </c>
      <c r="H34" s="27"/>
      <c r="I34" s="182"/>
      <c r="J34" s="27"/>
      <c r="K34" s="27"/>
      <c r="L34" s="27"/>
      <c r="M34" s="27"/>
      <c r="N34" s="27"/>
      <c r="O34" s="27"/>
      <c r="P34" s="132"/>
    </row>
    <row r="35" spans="2:16" x14ac:dyDescent="0.35">
      <c r="B35" s="130"/>
      <c r="C35" s="183" t="s">
        <v>165</v>
      </c>
      <c r="D35" s="44">
        <v>1</v>
      </c>
      <c r="E35" s="44">
        <v>27</v>
      </c>
      <c r="F35" s="44">
        <v>1</v>
      </c>
      <c r="G35" s="38">
        <v>27</v>
      </c>
      <c r="H35" s="27"/>
      <c r="I35" s="182"/>
      <c r="J35" s="27"/>
      <c r="K35" s="27"/>
      <c r="L35" s="27"/>
      <c r="M35" s="27"/>
      <c r="N35" s="27"/>
      <c r="O35" s="27"/>
      <c r="P35" s="132"/>
    </row>
    <row r="36" spans="2:16" x14ac:dyDescent="0.35">
      <c r="B36" s="130"/>
      <c r="C36" s="183" t="s">
        <v>166</v>
      </c>
      <c r="D36" s="44">
        <v>8</v>
      </c>
      <c r="E36" s="44">
        <v>27</v>
      </c>
      <c r="F36" s="44">
        <v>8</v>
      </c>
      <c r="G36" s="38">
        <v>27</v>
      </c>
      <c r="H36" s="27"/>
      <c r="I36" s="182"/>
      <c r="J36" s="27"/>
      <c r="K36" s="27"/>
      <c r="L36" s="27"/>
      <c r="M36" s="27"/>
      <c r="N36" s="27"/>
      <c r="O36" s="27"/>
      <c r="P36" s="132"/>
    </row>
    <row r="37" spans="2:16" x14ac:dyDescent="0.35">
      <c r="B37" s="130"/>
      <c r="C37" s="183" t="s">
        <v>167</v>
      </c>
      <c r="D37" s="44">
        <v>8</v>
      </c>
      <c r="E37" s="44">
        <v>8.6</v>
      </c>
      <c r="F37" s="44">
        <v>8</v>
      </c>
      <c r="G37" s="38">
        <v>8.6</v>
      </c>
      <c r="H37" s="27"/>
      <c r="I37" s="182"/>
      <c r="J37" s="27"/>
      <c r="K37" s="27"/>
      <c r="L37" s="27"/>
      <c r="M37" s="27"/>
      <c r="N37" s="27"/>
      <c r="O37" s="27"/>
      <c r="P37" s="132"/>
    </row>
    <row r="38" spans="2:16" x14ac:dyDescent="0.35">
      <c r="B38" s="130"/>
      <c r="C38" s="183" t="s">
        <v>168</v>
      </c>
      <c r="D38" s="44">
        <v>1</v>
      </c>
      <c r="E38" s="44">
        <v>27</v>
      </c>
      <c r="F38" s="44">
        <v>1</v>
      </c>
      <c r="G38" s="38">
        <v>27</v>
      </c>
      <c r="H38" s="27"/>
      <c r="I38" s="182"/>
      <c r="J38" s="27"/>
      <c r="K38" s="27"/>
      <c r="L38" s="27"/>
      <c r="M38" s="27"/>
      <c r="N38" s="27"/>
      <c r="O38" s="27"/>
      <c r="P38" s="132"/>
    </row>
    <row r="39" spans="2:16" x14ac:dyDescent="0.35">
      <c r="B39" s="130"/>
      <c r="C39" s="183" t="s">
        <v>169</v>
      </c>
      <c r="D39" s="44">
        <v>8</v>
      </c>
      <c r="E39" s="44">
        <v>27</v>
      </c>
      <c r="F39" s="44">
        <v>8</v>
      </c>
      <c r="G39" s="38">
        <v>27</v>
      </c>
      <c r="H39" s="27"/>
      <c r="I39" s="182"/>
      <c r="J39" s="27"/>
      <c r="K39" s="27"/>
      <c r="L39" s="27"/>
      <c r="M39" s="27"/>
      <c r="N39" s="27"/>
      <c r="O39" s="27"/>
      <c r="P39" s="132"/>
    </row>
    <row r="40" spans="2:16" x14ac:dyDescent="0.35">
      <c r="B40" s="130"/>
      <c r="C40" s="183" t="s">
        <v>170</v>
      </c>
      <c r="D40" s="44">
        <v>8</v>
      </c>
      <c r="E40" s="44">
        <v>9.4</v>
      </c>
      <c r="F40" s="44">
        <v>8</v>
      </c>
      <c r="G40" s="38">
        <v>9.4</v>
      </c>
      <c r="H40" s="27"/>
      <c r="I40" s="182"/>
      <c r="J40" s="27"/>
      <c r="K40" s="27"/>
      <c r="L40" s="27"/>
      <c r="M40" s="27"/>
      <c r="N40" s="27"/>
      <c r="O40" s="27"/>
      <c r="P40" s="132"/>
    </row>
    <row r="41" spans="2:16" x14ac:dyDescent="0.35">
      <c r="B41" s="130"/>
      <c r="C41" s="183" t="s">
        <v>171</v>
      </c>
      <c r="D41" s="44">
        <v>8</v>
      </c>
      <c r="E41" s="44">
        <v>27</v>
      </c>
      <c r="F41" s="44">
        <v>8</v>
      </c>
      <c r="G41" s="38">
        <v>27</v>
      </c>
      <c r="H41" s="27"/>
      <c r="I41" s="182"/>
      <c r="J41" s="27"/>
      <c r="K41" s="27"/>
      <c r="L41" s="27"/>
      <c r="M41" s="27"/>
      <c r="N41" s="27"/>
      <c r="O41" s="27"/>
      <c r="P41" s="132"/>
    </row>
    <row r="42" spans="2:16" x14ac:dyDescent="0.35">
      <c r="B42" s="130"/>
      <c r="C42" s="183" t="s">
        <v>172</v>
      </c>
      <c r="D42" s="44">
        <v>1</v>
      </c>
      <c r="E42" s="44">
        <v>27</v>
      </c>
      <c r="F42" s="44">
        <v>1</v>
      </c>
      <c r="G42" s="38">
        <v>27</v>
      </c>
      <c r="H42" s="27"/>
      <c r="I42" s="182"/>
      <c r="J42" s="27"/>
      <c r="K42" s="27"/>
      <c r="L42" s="27"/>
      <c r="M42" s="27"/>
      <c r="N42" s="27"/>
      <c r="O42" s="27"/>
      <c r="P42" s="132"/>
    </row>
    <row r="43" spans="2:16" x14ac:dyDescent="0.35">
      <c r="B43" s="130"/>
      <c r="C43" s="183" t="s">
        <v>173</v>
      </c>
      <c r="D43" s="44">
        <v>1</v>
      </c>
      <c r="E43" s="44">
        <v>27</v>
      </c>
      <c r="F43" s="44">
        <v>1</v>
      </c>
      <c r="G43" s="38">
        <v>27</v>
      </c>
      <c r="H43" s="27"/>
      <c r="I43" s="182"/>
      <c r="J43" s="27"/>
      <c r="K43" s="27"/>
      <c r="L43" s="27"/>
      <c r="M43" s="27"/>
      <c r="N43" s="27"/>
      <c r="O43" s="27"/>
      <c r="P43" s="132"/>
    </row>
    <row r="44" spans="2:16" x14ac:dyDescent="0.35">
      <c r="B44" s="130"/>
      <c r="C44" s="183" t="s">
        <v>174</v>
      </c>
      <c r="D44" s="44">
        <v>1</v>
      </c>
      <c r="E44" s="44">
        <v>27</v>
      </c>
      <c r="F44" s="44">
        <v>0.5</v>
      </c>
      <c r="G44" s="38">
        <v>27</v>
      </c>
      <c r="H44" s="27"/>
      <c r="I44" s="182"/>
      <c r="J44" s="27"/>
      <c r="K44" s="27"/>
      <c r="L44" s="27"/>
      <c r="M44" s="27"/>
      <c r="N44" s="27"/>
      <c r="O44" s="27"/>
      <c r="P44" s="132"/>
    </row>
    <row r="45" spans="2:16" x14ac:dyDescent="0.35">
      <c r="B45" s="130"/>
      <c r="C45" s="183" t="s">
        <v>175</v>
      </c>
      <c r="D45" s="44">
        <v>8</v>
      </c>
      <c r="E45" s="44">
        <v>27</v>
      </c>
      <c r="F45" s="44">
        <v>8</v>
      </c>
      <c r="G45" s="38">
        <v>27</v>
      </c>
      <c r="H45" s="27"/>
      <c r="I45" s="182"/>
      <c r="J45" s="27"/>
      <c r="K45" s="27"/>
      <c r="L45" s="27"/>
      <c r="M45" s="27"/>
      <c r="N45" s="27"/>
      <c r="O45" s="27"/>
      <c r="P45" s="132"/>
    </row>
    <row r="46" spans="2:16" x14ac:dyDescent="0.35">
      <c r="B46" s="130"/>
      <c r="C46" s="183" t="s">
        <v>176</v>
      </c>
      <c r="D46" s="44">
        <v>8</v>
      </c>
      <c r="E46" s="44">
        <v>27</v>
      </c>
      <c r="F46" s="44">
        <v>8</v>
      </c>
      <c r="G46" s="38">
        <v>27</v>
      </c>
      <c r="H46" s="27"/>
      <c r="I46" s="182"/>
      <c r="J46" s="27"/>
      <c r="K46" s="27"/>
      <c r="L46" s="27"/>
      <c r="M46" s="27"/>
      <c r="N46" s="27"/>
      <c r="O46" s="27"/>
      <c r="P46" s="132"/>
    </row>
    <row r="47" spans="2:16" x14ac:dyDescent="0.35">
      <c r="B47" s="130"/>
      <c r="C47" s="183" t="s">
        <v>177</v>
      </c>
      <c r="D47" s="44">
        <v>8</v>
      </c>
      <c r="E47" s="44">
        <v>27</v>
      </c>
      <c r="F47" s="44">
        <v>8</v>
      </c>
      <c r="G47" s="38">
        <v>27</v>
      </c>
      <c r="H47" s="27"/>
      <c r="I47" s="182"/>
      <c r="J47" s="27"/>
      <c r="K47" s="27"/>
      <c r="L47" s="27"/>
      <c r="M47" s="27"/>
      <c r="N47" s="27"/>
      <c r="O47" s="27"/>
      <c r="P47" s="132"/>
    </row>
    <row r="48" spans="2:16" x14ac:dyDescent="0.35">
      <c r="B48" s="130"/>
      <c r="C48" s="183" t="s">
        <v>178</v>
      </c>
      <c r="D48" s="44">
        <v>9.6999999999999993</v>
      </c>
      <c r="E48" s="44">
        <v>72.900000000000006</v>
      </c>
      <c r="F48" s="44">
        <v>9.6999999999999993</v>
      </c>
      <c r="G48" s="41">
        <v>72.900000000000006</v>
      </c>
      <c r="H48" s="27"/>
      <c r="I48" s="182"/>
      <c r="J48" s="27"/>
      <c r="K48" s="27"/>
      <c r="L48" s="27"/>
      <c r="M48" s="27"/>
      <c r="N48" s="27"/>
      <c r="O48" s="27"/>
      <c r="P48" s="132"/>
    </row>
    <row r="49" spans="2:16" x14ac:dyDescent="0.35">
      <c r="B49" s="130"/>
      <c r="C49" s="183" t="s">
        <v>179</v>
      </c>
      <c r="D49" s="44">
        <v>11.6</v>
      </c>
      <c r="E49" s="44">
        <v>96.3</v>
      </c>
      <c r="F49" s="44">
        <v>11.6</v>
      </c>
      <c r="G49" s="41">
        <v>96.3</v>
      </c>
      <c r="H49" s="27"/>
      <c r="I49" s="182"/>
      <c r="J49" s="27"/>
      <c r="K49" s="27"/>
      <c r="L49" s="27"/>
      <c r="M49" s="27"/>
      <c r="N49" s="27"/>
      <c r="O49" s="27"/>
      <c r="P49" s="132"/>
    </row>
    <row r="50" spans="2:16" x14ac:dyDescent="0.35">
      <c r="B50" s="130"/>
      <c r="C50" s="183" t="s">
        <v>180</v>
      </c>
      <c r="D50" s="44"/>
      <c r="E50" s="44"/>
      <c r="F50" s="44"/>
      <c r="G50" s="38"/>
      <c r="H50" s="182"/>
      <c r="I50" s="182"/>
      <c r="J50" s="27"/>
      <c r="K50" s="27"/>
      <c r="L50" s="27"/>
      <c r="M50" s="27"/>
      <c r="N50" s="27"/>
      <c r="O50" s="27"/>
      <c r="P50" s="132"/>
    </row>
    <row r="51" spans="2:16" x14ac:dyDescent="0.35">
      <c r="B51" s="130"/>
      <c r="C51" s="183" t="s">
        <v>181</v>
      </c>
      <c r="D51" s="44"/>
      <c r="E51" s="44"/>
      <c r="F51" s="44"/>
      <c r="G51" s="38"/>
      <c r="H51" s="27"/>
      <c r="I51" s="182"/>
      <c r="J51" s="27"/>
      <c r="K51" s="27"/>
      <c r="L51" s="27"/>
      <c r="M51" s="27"/>
      <c r="N51" s="27"/>
      <c r="O51" s="27"/>
      <c r="P51" s="132"/>
    </row>
    <row r="52" spans="2:16" x14ac:dyDescent="0.35">
      <c r="B52" s="130"/>
      <c r="C52" s="27"/>
      <c r="D52" s="182"/>
      <c r="E52" s="27"/>
      <c r="F52" s="27"/>
      <c r="G52" s="27"/>
      <c r="H52" s="27"/>
      <c r="I52" s="182"/>
      <c r="J52" s="27"/>
      <c r="K52" s="27"/>
      <c r="L52" s="27"/>
      <c r="M52" s="27"/>
      <c r="N52" s="27"/>
      <c r="O52" s="27"/>
      <c r="P52" s="132"/>
    </row>
    <row r="53" spans="2:16" x14ac:dyDescent="0.35">
      <c r="B53" s="130"/>
      <c r="C53" s="27" t="s">
        <v>182</v>
      </c>
      <c r="D53" s="27"/>
      <c r="E53" s="27"/>
      <c r="F53" s="27"/>
      <c r="G53" s="27"/>
      <c r="H53" s="27"/>
      <c r="I53" s="27"/>
      <c r="J53" s="27"/>
      <c r="K53" s="27"/>
      <c r="L53" s="27"/>
      <c r="M53" s="27"/>
      <c r="N53" s="27"/>
      <c r="O53" s="27"/>
      <c r="P53" s="132"/>
    </row>
    <row r="54" spans="2:16" ht="28.5" thickBot="1" x14ac:dyDescent="0.4">
      <c r="B54" s="130"/>
      <c r="C54" s="33" t="s">
        <v>183</v>
      </c>
      <c r="D54" s="33" t="s">
        <v>184</v>
      </c>
      <c r="E54" s="33" t="s">
        <v>185</v>
      </c>
      <c r="F54" s="33" t="s">
        <v>186</v>
      </c>
      <c r="G54" s="33" t="s">
        <v>187</v>
      </c>
      <c r="H54" s="33" t="s">
        <v>188</v>
      </c>
      <c r="I54" s="33" t="s">
        <v>189</v>
      </c>
      <c r="J54" s="47" t="s">
        <v>190</v>
      </c>
      <c r="K54" s="33" t="s">
        <v>191</v>
      </c>
      <c r="L54" s="40" t="s">
        <v>192</v>
      </c>
      <c r="M54" s="47" t="s">
        <v>193</v>
      </c>
      <c r="N54" s="33" t="s">
        <v>194</v>
      </c>
      <c r="O54" s="129" t="s">
        <v>195</v>
      </c>
      <c r="P54" s="120"/>
    </row>
    <row r="55" spans="2:16" ht="17.25" customHeight="1" thickTop="1" x14ac:dyDescent="0.35">
      <c r="B55" s="130"/>
      <c r="C55" s="184" t="s">
        <v>196</v>
      </c>
      <c r="D55" s="184" t="s">
        <v>197</v>
      </c>
      <c r="E55" s="184" t="b">
        <v>0</v>
      </c>
      <c r="F55" s="184" t="s">
        <v>198</v>
      </c>
      <c r="G55" s="184" t="s">
        <v>199</v>
      </c>
      <c r="H55" s="34" t="str">
        <f>C55&amp;"|"&amp;D55&amp;"|"&amp;E55&amp;"|"&amp;F55&amp;"|"&amp;G55</f>
        <v>Avon Hampshire|Cereals|FALSE|700to900|FreeDrain</v>
      </c>
      <c r="I55" s="177">
        <v>0.12119332530016153</v>
      </c>
      <c r="J55" s="177">
        <v>27.794639260313915</v>
      </c>
      <c r="K55" s="34" t="str">
        <f t="shared" ref="K55:K78" si="0">D55&amp;"|"&amp;F55</f>
        <v>Cereals|700to900</v>
      </c>
      <c r="L55" s="45">
        <f>AVERAGE(I55,I57,I59)</f>
        <v>0.56723595432368723</v>
      </c>
      <c r="M55" s="45">
        <f>AVERAGE(J55,J57,J59)</f>
        <v>23.0355673958199</v>
      </c>
      <c r="N55" s="177">
        <f>AVERAGE(I55:I64)</f>
        <v>0.6579581473487438</v>
      </c>
      <c r="O55" s="45">
        <f>AVERAGE(J55:J64)</f>
        <v>24.69461993909</v>
      </c>
      <c r="P55" s="120"/>
    </row>
    <row r="56" spans="2:16" x14ac:dyDescent="0.35">
      <c r="B56" s="130"/>
      <c r="C56" s="184" t="s">
        <v>196</v>
      </c>
      <c r="D56" s="184" t="s">
        <v>197</v>
      </c>
      <c r="E56" s="184" t="b">
        <v>1</v>
      </c>
      <c r="F56" s="184" t="s">
        <v>198</v>
      </c>
      <c r="G56" s="184" t="s">
        <v>199</v>
      </c>
      <c r="H56" s="34" t="str">
        <f t="shared" ref="H56:H86" si="1">C56&amp;"|"&amp;D56&amp;"|"&amp;E56&amp;"|"&amp;F56&amp;"|"&amp;G56</f>
        <v>Avon Hampshire|Cereals|TRUE|700to900|FreeDrain</v>
      </c>
      <c r="I56" s="127">
        <v>0.12118590174522835</v>
      </c>
      <c r="J56" s="127">
        <v>27.704908333630154</v>
      </c>
      <c r="K56" s="34" t="str">
        <f t="shared" si="0"/>
        <v>Cereals|700to900</v>
      </c>
      <c r="L56" s="127"/>
      <c r="M56" s="127"/>
      <c r="N56" s="49"/>
      <c r="O56" s="46"/>
      <c r="P56" s="120"/>
    </row>
    <row r="57" spans="2:16" x14ac:dyDescent="0.35">
      <c r="B57" s="130"/>
      <c r="C57" s="184" t="s">
        <v>196</v>
      </c>
      <c r="D57" s="184" t="s">
        <v>197</v>
      </c>
      <c r="E57" s="184" t="b">
        <v>0</v>
      </c>
      <c r="F57" s="184" t="s">
        <v>198</v>
      </c>
      <c r="G57" s="184" t="s">
        <v>200</v>
      </c>
      <c r="H57" s="34" t="str">
        <f t="shared" si="1"/>
        <v>Avon Hampshire|Cereals|FALSE|700to900|DrainedAr</v>
      </c>
      <c r="I57" s="127">
        <v>0.66046425129948039</v>
      </c>
      <c r="J57" s="127">
        <v>21.391603698971309</v>
      </c>
      <c r="K57" s="34" t="str">
        <f t="shared" si="0"/>
        <v>Cereals|700to900</v>
      </c>
      <c r="L57" s="176"/>
      <c r="M57" s="176"/>
      <c r="N57" s="178"/>
      <c r="O57" s="200"/>
      <c r="P57" s="120"/>
    </row>
    <row r="58" spans="2:16" x14ac:dyDescent="0.35">
      <c r="B58" s="130"/>
      <c r="C58" s="184" t="s">
        <v>196</v>
      </c>
      <c r="D58" s="184" t="s">
        <v>197</v>
      </c>
      <c r="E58" s="184" t="b">
        <v>1</v>
      </c>
      <c r="F58" s="184" t="s">
        <v>198</v>
      </c>
      <c r="G58" s="184" t="s">
        <v>200</v>
      </c>
      <c r="H58" s="34" t="str">
        <f t="shared" si="1"/>
        <v>Avon Hampshire|Cereals|TRUE|700to900|DrainedAr</v>
      </c>
      <c r="I58" s="127">
        <v>0.66040737814810957</v>
      </c>
      <c r="J58" s="127">
        <v>21.329747945219982</v>
      </c>
      <c r="K58" s="34" t="str">
        <f t="shared" si="0"/>
        <v>Cereals|700to900</v>
      </c>
      <c r="L58" s="127"/>
      <c r="M58" s="127"/>
      <c r="N58" s="49"/>
      <c r="O58" s="46"/>
      <c r="P58" s="120"/>
    </row>
    <row r="59" spans="2:16" x14ac:dyDescent="0.35">
      <c r="B59" s="130"/>
      <c r="C59" s="184" t="s">
        <v>196</v>
      </c>
      <c r="D59" s="184" t="s">
        <v>197</v>
      </c>
      <c r="E59" s="184" t="b">
        <v>0</v>
      </c>
      <c r="F59" s="184" t="s">
        <v>198</v>
      </c>
      <c r="G59" s="184" t="s">
        <v>201</v>
      </c>
      <c r="H59" s="34" t="str">
        <f t="shared" si="1"/>
        <v>Avon Hampshire|Cereals|FALSE|700to900|DrainedArGr</v>
      </c>
      <c r="I59" s="127">
        <v>0.92005028637141961</v>
      </c>
      <c r="J59" s="127">
        <v>19.920459228174479</v>
      </c>
      <c r="K59" s="34" t="str">
        <f t="shared" si="0"/>
        <v>Cereals|700to900</v>
      </c>
      <c r="L59" s="127"/>
      <c r="M59" s="127"/>
      <c r="N59" s="49"/>
      <c r="O59" s="46"/>
      <c r="P59" s="120"/>
    </row>
    <row r="60" spans="2:16" x14ac:dyDescent="0.35">
      <c r="B60" s="130"/>
      <c r="C60" s="184" t="s">
        <v>196</v>
      </c>
      <c r="D60" s="184" t="s">
        <v>197</v>
      </c>
      <c r="E60" s="184" t="b">
        <v>1</v>
      </c>
      <c r="F60" s="184" t="s">
        <v>198</v>
      </c>
      <c r="G60" s="184" t="s">
        <v>201</v>
      </c>
      <c r="H60" s="34" t="str">
        <f t="shared" si="1"/>
        <v>Avon Hampshire|Cereals|TRUE|700to900|DrainedArGr</v>
      </c>
      <c r="I60" s="127">
        <v>0.91992435117060589</v>
      </c>
      <c r="J60" s="127">
        <v>19.869818901168749</v>
      </c>
      <c r="K60" s="34" t="str">
        <f t="shared" si="0"/>
        <v>Cereals|700to900</v>
      </c>
      <c r="L60" s="127"/>
      <c r="M60" s="127"/>
      <c r="N60" s="49"/>
      <c r="O60" s="46"/>
      <c r="P60" s="120"/>
    </row>
    <row r="61" spans="2:16" x14ac:dyDescent="0.35">
      <c r="B61" s="130"/>
      <c r="C61" s="184" t="s">
        <v>196</v>
      </c>
      <c r="D61" s="184" t="s">
        <v>197</v>
      </c>
      <c r="E61" s="184" t="b">
        <v>0</v>
      </c>
      <c r="F61" s="184" t="s">
        <v>202</v>
      </c>
      <c r="G61" s="184" t="s">
        <v>199</v>
      </c>
      <c r="H61" s="34" t="str">
        <f t="shared" si="1"/>
        <v>Avon Hampshire|Cereals|FALSE|900to1200|FreeDrain</v>
      </c>
      <c r="I61" s="127">
        <v>0.21237202292740134</v>
      </c>
      <c r="J61" s="127">
        <v>29.484249114424799</v>
      </c>
      <c r="K61" s="34" t="str">
        <f t="shared" si="0"/>
        <v>Cereals|900to1200</v>
      </c>
      <c r="L61" s="176">
        <f>AVERAGE(I62:I64)</f>
        <v>0.98799465217501048</v>
      </c>
      <c r="M61" s="176">
        <f>AVERAGE(J62:J64)</f>
        <v>26.483590969665542</v>
      </c>
      <c r="N61" s="178"/>
      <c r="O61" s="200"/>
      <c r="P61" s="120"/>
    </row>
    <row r="62" spans="2:16" x14ac:dyDescent="0.35">
      <c r="B62" s="130"/>
      <c r="C62" s="184" t="s">
        <v>196</v>
      </c>
      <c r="D62" s="184" t="s">
        <v>197</v>
      </c>
      <c r="E62" s="184" t="b">
        <v>1</v>
      </c>
      <c r="F62" s="184" t="s">
        <v>202</v>
      </c>
      <c r="G62" s="184" t="s">
        <v>199</v>
      </c>
      <c r="H62" s="34" t="str">
        <f t="shared" si="1"/>
        <v>Avon Hampshire|Cereals|TRUE|900to1200|FreeDrain</v>
      </c>
      <c r="I62" s="127">
        <v>0.21236306234626323</v>
      </c>
      <c r="J62" s="127">
        <v>29.39003870203431</v>
      </c>
      <c r="K62" s="34" t="str">
        <f t="shared" si="0"/>
        <v>Cereals|900to1200</v>
      </c>
      <c r="L62" s="127"/>
      <c r="M62" s="127"/>
      <c r="N62" s="49"/>
      <c r="O62" s="46"/>
      <c r="P62" s="120"/>
    </row>
    <row r="63" spans="2:16" x14ac:dyDescent="0.35">
      <c r="B63" s="130"/>
      <c r="C63" s="184" t="s">
        <v>196</v>
      </c>
      <c r="D63" s="184" t="s">
        <v>197</v>
      </c>
      <c r="E63" s="184" t="b">
        <v>1</v>
      </c>
      <c r="F63" s="184" t="s">
        <v>202</v>
      </c>
      <c r="G63" s="184" t="s">
        <v>200</v>
      </c>
      <c r="H63" s="34" t="str">
        <f t="shared" si="1"/>
        <v>Avon Hampshire|Cereals|TRUE|900to1200|DrainedAr</v>
      </c>
      <c r="I63" s="127">
        <v>1.2480363611590874</v>
      </c>
      <c r="J63" s="127">
        <v>27.175067877844846</v>
      </c>
      <c r="K63" s="34" t="str">
        <f t="shared" si="0"/>
        <v>Cereals|900to1200</v>
      </c>
      <c r="L63" s="127"/>
      <c r="M63" s="127"/>
      <c r="N63" s="197"/>
      <c r="O63" s="199"/>
      <c r="P63" s="120"/>
    </row>
    <row r="64" spans="2:16" x14ac:dyDescent="0.35">
      <c r="B64" s="130"/>
      <c r="C64" s="184" t="s">
        <v>196</v>
      </c>
      <c r="D64" s="184" t="s">
        <v>197</v>
      </c>
      <c r="E64" s="184" t="b">
        <v>0</v>
      </c>
      <c r="F64" s="184" t="s">
        <v>202</v>
      </c>
      <c r="G64" s="184" t="s">
        <v>201</v>
      </c>
      <c r="H64" s="34" t="str">
        <f t="shared" si="1"/>
        <v>Avon Hampshire|Cereals|FALSE|900to1200|DrainedArGr</v>
      </c>
      <c r="I64" s="127">
        <v>1.5035845330196809</v>
      </c>
      <c r="J64" s="127">
        <v>22.88566632911747</v>
      </c>
      <c r="K64" s="34" t="str">
        <f t="shared" si="0"/>
        <v>Cereals|900to1200</v>
      </c>
      <c r="L64" s="46"/>
      <c r="M64" s="46"/>
      <c r="N64" s="199"/>
      <c r="O64" s="199"/>
      <c r="P64" s="120"/>
    </row>
    <row r="65" spans="2:16" x14ac:dyDescent="0.35">
      <c r="B65" s="130"/>
      <c r="C65" s="184" t="s">
        <v>196</v>
      </c>
      <c r="D65" s="184" t="s">
        <v>203</v>
      </c>
      <c r="E65" s="184" t="b">
        <v>0</v>
      </c>
      <c r="F65" s="184" t="s">
        <v>198</v>
      </c>
      <c r="G65" s="184" t="s">
        <v>199</v>
      </c>
      <c r="H65" s="34" t="str">
        <f t="shared" si="1"/>
        <v>Avon Hampshire|General|FALSE|700to900|FreeDrain</v>
      </c>
      <c r="I65" s="127">
        <v>9.2074887809217187E-2</v>
      </c>
      <c r="J65" s="127">
        <v>18.34308155436873</v>
      </c>
      <c r="K65" s="34" t="str">
        <f t="shared" si="0"/>
        <v>General|700to900</v>
      </c>
      <c r="L65" s="46">
        <f>AVERAGE(I66,I68:I69)</f>
        <v>0.38998985971706279</v>
      </c>
      <c r="M65" s="46">
        <f>AVERAGE(J66,J68:J69)</f>
        <v>14.757445773046447</v>
      </c>
      <c r="N65" s="127">
        <f>AVERAGE(I65:I75)</f>
        <v>0.52038740372938774</v>
      </c>
      <c r="O65" s="46">
        <f>AVERAGE(J65:J75)</f>
        <v>15.75677741581843</v>
      </c>
      <c r="P65" s="120"/>
    </row>
    <row r="66" spans="2:16" x14ac:dyDescent="0.35">
      <c r="B66" s="130"/>
      <c r="C66" s="184" t="s">
        <v>196</v>
      </c>
      <c r="D66" s="184" t="s">
        <v>203</v>
      </c>
      <c r="E66" s="184" t="b">
        <v>1</v>
      </c>
      <c r="F66" s="184" t="s">
        <v>198</v>
      </c>
      <c r="G66" s="184" t="s">
        <v>199</v>
      </c>
      <c r="H66" s="34" t="str">
        <f t="shared" si="1"/>
        <v>Avon Hampshire|General|TRUE|700to900|FreeDrain</v>
      </c>
      <c r="I66" s="127">
        <v>9.2074887809217187E-2</v>
      </c>
      <c r="J66" s="127">
        <v>18.292635995060515</v>
      </c>
      <c r="K66" s="34" t="str">
        <f t="shared" si="0"/>
        <v>General|700to900</v>
      </c>
      <c r="M66" s="197"/>
      <c r="N66" s="197"/>
      <c r="O66" s="199"/>
      <c r="P66" s="132"/>
    </row>
    <row r="67" spans="2:16" x14ac:dyDescent="0.35">
      <c r="B67" s="130"/>
      <c r="C67" s="184" t="s">
        <v>196</v>
      </c>
      <c r="D67" s="184" t="s">
        <v>203</v>
      </c>
      <c r="E67" s="184" t="b">
        <v>0</v>
      </c>
      <c r="F67" s="184" t="s">
        <v>198</v>
      </c>
      <c r="G67" s="184" t="s">
        <v>200</v>
      </c>
      <c r="H67" s="34" t="str">
        <f t="shared" si="1"/>
        <v>Avon Hampshire|General|FALSE|700to900|DrainedAr</v>
      </c>
      <c r="I67" s="127">
        <v>0.40729110208668717</v>
      </c>
      <c r="J67" s="127">
        <v>13.750618809464672</v>
      </c>
      <c r="K67" s="34" t="str">
        <f t="shared" si="0"/>
        <v>General|700to900</v>
      </c>
      <c r="L67" s="46"/>
      <c r="M67" s="46"/>
      <c r="N67" s="127"/>
      <c r="O67" s="46"/>
      <c r="P67" s="120"/>
    </row>
    <row r="68" spans="2:16" x14ac:dyDescent="0.35">
      <c r="B68" s="130"/>
      <c r="C68" s="184" t="s">
        <v>196</v>
      </c>
      <c r="D68" s="184" t="s">
        <v>203</v>
      </c>
      <c r="E68" s="184" t="b">
        <v>1</v>
      </c>
      <c r="F68" s="184" t="s">
        <v>198</v>
      </c>
      <c r="G68" s="184" t="s">
        <v>200</v>
      </c>
      <c r="H68" s="34" t="str">
        <f t="shared" si="1"/>
        <v>Avon Hampshire|General|TRUE|700to900|DrainedAr</v>
      </c>
      <c r="I68" s="127">
        <v>0.40729110208668717</v>
      </c>
      <c r="J68" s="127">
        <v>13.717266952037692</v>
      </c>
      <c r="K68" s="34" t="str">
        <f t="shared" si="0"/>
        <v>General|700to900</v>
      </c>
      <c r="L68" s="46"/>
      <c r="M68" s="46"/>
      <c r="N68" s="127"/>
      <c r="O68" s="46"/>
      <c r="P68" s="120"/>
    </row>
    <row r="69" spans="2:16" x14ac:dyDescent="0.35">
      <c r="B69" s="130"/>
      <c r="C69" s="184" t="s">
        <v>196</v>
      </c>
      <c r="D69" s="184" t="s">
        <v>203</v>
      </c>
      <c r="E69" s="184" t="b">
        <v>0</v>
      </c>
      <c r="F69" s="184" t="s">
        <v>198</v>
      </c>
      <c r="G69" s="184" t="s">
        <v>201</v>
      </c>
      <c r="H69" s="34" t="str">
        <f t="shared" si="1"/>
        <v>Avon Hampshire|General|FALSE|700to900|DrainedArGr</v>
      </c>
      <c r="I69" s="127">
        <v>0.67060358925528407</v>
      </c>
      <c r="J69" s="127">
        <v>12.262434372041135</v>
      </c>
      <c r="K69" s="34" t="str">
        <f t="shared" si="0"/>
        <v>General|700to900</v>
      </c>
      <c r="L69" s="46"/>
      <c r="M69" s="46"/>
      <c r="N69" s="127"/>
      <c r="O69" s="46"/>
      <c r="P69" s="120"/>
    </row>
    <row r="70" spans="2:16" x14ac:dyDescent="0.35">
      <c r="B70" s="130"/>
      <c r="C70" s="184" t="s">
        <v>196</v>
      </c>
      <c r="D70" s="184" t="s">
        <v>203</v>
      </c>
      <c r="E70" s="184" t="b">
        <v>1</v>
      </c>
      <c r="F70" s="184" t="s">
        <v>198</v>
      </c>
      <c r="G70" s="184" t="s">
        <v>201</v>
      </c>
      <c r="H70" s="34" t="str">
        <f t="shared" si="1"/>
        <v>Avon Hampshire|General|TRUE|700to900|DrainedArGr</v>
      </c>
      <c r="I70" s="127">
        <v>0.67060358925528407</v>
      </c>
      <c r="J70" s="127">
        <v>12.235885485104397</v>
      </c>
      <c r="K70" s="34" t="str">
        <f t="shared" si="0"/>
        <v>General|700to900</v>
      </c>
      <c r="L70" s="46"/>
      <c r="M70" s="46"/>
      <c r="N70" s="127"/>
      <c r="O70" s="46"/>
      <c r="P70" s="120"/>
    </row>
    <row r="71" spans="2:16" x14ac:dyDescent="0.35">
      <c r="B71" s="130"/>
      <c r="C71" s="184" t="s">
        <v>196</v>
      </c>
      <c r="D71" s="184" t="s">
        <v>203</v>
      </c>
      <c r="E71" s="184" t="b">
        <v>0</v>
      </c>
      <c r="F71" s="184" t="s">
        <v>202</v>
      </c>
      <c r="G71" s="184" t="s">
        <v>199</v>
      </c>
      <c r="H71" s="34" t="str">
        <f t="shared" si="1"/>
        <v>Avon Hampshire|General|FALSE|900to1200|FreeDrain</v>
      </c>
      <c r="I71" s="127">
        <v>0.16363478345314764</v>
      </c>
      <c r="J71" s="127">
        <v>19.486728300385955</v>
      </c>
      <c r="K71" s="34" t="str">
        <f t="shared" si="0"/>
        <v>General|900to1200</v>
      </c>
      <c r="L71" s="46">
        <f>AVERAGE(I72:I74)</f>
        <v>0.69368928483812098</v>
      </c>
      <c r="M71" s="46">
        <f>AVERAGE(J72:J74)</f>
        <v>17.010439880235435</v>
      </c>
      <c r="N71" s="127"/>
      <c r="O71" s="46"/>
      <c r="P71" s="120"/>
    </row>
    <row r="72" spans="2:16" x14ac:dyDescent="0.35">
      <c r="B72" s="130"/>
      <c r="C72" s="184" t="s">
        <v>196</v>
      </c>
      <c r="D72" s="184" t="s">
        <v>203</v>
      </c>
      <c r="E72" s="184" t="b">
        <v>1</v>
      </c>
      <c r="F72" s="184" t="s">
        <v>202</v>
      </c>
      <c r="G72" s="184" t="s">
        <v>199</v>
      </c>
      <c r="H72" s="34" t="str">
        <f t="shared" si="1"/>
        <v>Avon Hampshire|General|TRUE|900to1200|FreeDrain</v>
      </c>
      <c r="I72" s="127">
        <v>0.16363478345314764</v>
      </c>
      <c r="J72" s="127">
        <v>19.433731058568213</v>
      </c>
      <c r="K72" s="34" t="str">
        <f t="shared" si="0"/>
        <v>General|900to1200</v>
      </c>
      <c r="L72" s="46"/>
      <c r="M72" s="46"/>
      <c r="N72" s="127"/>
      <c r="O72" s="46"/>
      <c r="P72" s="120"/>
    </row>
    <row r="73" spans="2:16" x14ac:dyDescent="0.35">
      <c r="B73" s="130"/>
      <c r="C73" s="184" t="s">
        <v>196</v>
      </c>
      <c r="D73" s="184" t="s">
        <v>203</v>
      </c>
      <c r="E73" s="184" t="b">
        <v>1</v>
      </c>
      <c r="F73" s="184" t="s">
        <v>202</v>
      </c>
      <c r="G73" s="184" t="s">
        <v>200</v>
      </c>
      <c r="H73" s="34" t="str">
        <f t="shared" si="1"/>
        <v>Avon Hampshire|General|TRUE|900to1200|DrainedAr</v>
      </c>
      <c r="I73" s="127">
        <v>0.77781342630783745</v>
      </c>
      <c r="J73" s="127">
        <v>17.366319090493384</v>
      </c>
      <c r="K73" s="34" t="str">
        <f t="shared" si="0"/>
        <v>General|900to1200</v>
      </c>
      <c r="M73" s="197"/>
      <c r="N73" s="127"/>
      <c r="O73" s="46"/>
      <c r="P73" s="172"/>
    </row>
    <row r="74" spans="2:16" x14ac:dyDescent="0.35">
      <c r="B74" s="130"/>
      <c r="C74" s="184" t="s">
        <v>196</v>
      </c>
      <c r="D74" s="184" t="s">
        <v>203</v>
      </c>
      <c r="E74" s="184" t="b">
        <v>0</v>
      </c>
      <c r="F74" s="184" t="s">
        <v>202</v>
      </c>
      <c r="G74" s="184" t="s">
        <v>201</v>
      </c>
      <c r="H74" s="44" t="str">
        <f t="shared" si="1"/>
        <v>Avon Hampshire|General|FALSE|900to1200|DrainedArGr</v>
      </c>
      <c r="I74" s="127">
        <v>1.1396196447533777</v>
      </c>
      <c r="J74" s="127">
        <v>14.231269491644705</v>
      </c>
      <c r="K74" s="34" t="str">
        <f t="shared" si="0"/>
        <v>General|900to1200</v>
      </c>
      <c r="L74" s="46"/>
      <c r="M74" s="46"/>
      <c r="N74" s="127"/>
      <c r="O74" s="46"/>
      <c r="P74" s="120"/>
    </row>
    <row r="75" spans="2:16" x14ac:dyDescent="0.35">
      <c r="B75" s="130"/>
      <c r="C75" s="184" t="s">
        <v>196</v>
      </c>
      <c r="D75" s="184" t="s">
        <v>203</v>
      </c>
      <c r="E75" s="184" t="b">
        <v>1</v>
      </c>
      <c r="F75" s="184" t="s">
        <v>202</v>
      </c>
      <c r="G75" s="184" t="s">
        <v>201</v>
      </c>
      <c r="H75" s="44" t="str">
        <f t="shared" si="1"/>
        <v>Avon Hampshire|General|TRUE|900to1200|DrainedArGr</v>
      </c>
      <c r="I75" s="127">
        <v>1.1396196447533777</v>
      </c>
      <c r="J75" s="127">
        <v>14.204580464833327</v>
      </c>
      <c r="K75" s="34" t="str">
        <f t="shared" si="0"/>
        <v>General|900to1200</v>
      </c>
      <c r="L75" s="46"/>
      <c r="M75" s="46"/>
      <c r="N75" s="127"/>
      <c r="O75" s="46"/>
      <c r="P75" s="120"/>
    </row>
    <row r="76" spans="2:16" x14ac:dyDescent="0.35">
      <c r="B76" s="130"/>
      <c r="C76" s="184" t="s">
        <v>196</v>
      </c>
      <c r="D76" s="184" t="s">
        <v>204</v>
      </c>
      <c r="E76" s="184" t="b">
        <v>0</v>
      </c>
      <c r="F76" s="184" t="s">
        <v>198</v>
      </c>
      <c r="G76" s="184" t="s">
        <v>199</v>
      </c>
      <c r="H76" s="44" t="str">
        <f t="shared" si="1"/>
        <v>Avon Hampshire|Horticulture|FALSE|700to900|FreeDrain</v>
      </c>
      <c r="I76" s="127">
        <v>0.10375837995213028</v>
      </c>
      <c r="J76" s="127">
        <v>21.409199458204785</v>
      </c>
      <c r="K76" s="34" t="str">
        <f t="shared" si="0"/>
        <v>Horticulture|700to900</v>
      </c>
      <c r="L76" s="46">
        <f>AVERAGE(I79:I80,I77)</f>
        <v>0.47701208867938188</v>
      </c>
      <c r="M76" s="46">
        <f>AVERAGE(J79:J80,J77)</f>
        <v>16.959528629085039</v>
      </c>
      <c r="N76" s="127">
        <f>AVERAGE(I76:I81)</f>
        <v>0.3751922428463399</v>
      </c>
      <c r="O76" s="46">
        <f>AVERAGE(J76:J81)</f>
        <v>18.447252203566205</v>
      </c>
      <c r="P76" s="120"/>
    </row>
    <row r="77" spans="2:16" x14ac:dyDescent="0.35">
      <c r="B77" s="130"/>
      <c r="C77" s="184" t="s">
        <v>196</v>
      </c>
      <c r="D77" s="184" t="s">
        <v>204</v>
      </c>
      <c r="E77" s="184" t="b">
        <v>1</v>
      </c>
      <c r="F77" s="184" t="s">
        <v>198</v>
      </c>
      <c r="G77" s="184" t="s">
        <v>199</v>
      </c>
      <c r="H77" s="44" t="str">
        <f t="shared" si="1"/>
        <v>Avon Hampshire|Horticulture|TRUE|700to900|FreeDrain</v>
      </c>
      <c r="I77" s="127">
        <v>0.10375837995213028</v>
      </c>
      <c r="J77" s="127">
        <v>21.346690116883149</v>
      </c>
      <c r="K77" s="34" t="str">
        <f t="shared" si="0"/>
        <v>Horticulture|700to900</v>
      </c>
      <c r="L77" s="46"/>
      <c r="M77" s="46"/>
      <c r="N77" s="127"/>
      <c r="O77" s="46"/>
      <c r="P77" s="120"/>
    </row>
    <row r="78" spans="2:16" x14ac:dyDescent="0.35">
      <c r="B78" s="130"/>
      <c r="C78" s="184" t="s">
        <v>196</v>
      </c>
      <c r="D78" s="184" t="s">
        <v>204</v>
      </c>
      <c r="E78" s="184" t="b">
        <v>0</v>
      </c>
      <c r="F78" s="184" t="s">
        <v>198</v>
      </c>
      <c r="G78" s="184" t="s">
        <v>200</v>
      </c>
      <c r="H78" s="44" t="str">
        <f t="shared" si="1"/>
        <v>Avon Hampshire|Horticulture|FALSE|700to900|DrainedAr</v>
      </c>
      <c r="I78" s="127">
        <v>0.53003090001774023</v>
      </c>
      <c r="J78" s="127">
        <v>15.687870973023495</v>
      </c>
      <c r="K78" s="34" t="str">
        <f t="shared" si="0"/>
        <v>Horticulture|700to900</v>
      </c>
      <c r="L78" s="46"/>
      <c r="M78" s="46"/>
      <c r="N78" s="127"/>
      <c r="O78" s="46"/>
      <c r="P78" s="120"/>
    </row>
    <row r="79" spans="2:16" x14ac:dyDescent="0.35">
      <c r="B79" s="130"/>
      <c r="C79" s="184" t="s">
        <v>196</v>
      </c>
      <c r="D79" s="184" t="s">
        <v>204</v>
      </c>
      <c r="E79" s="184" t="b">
        <v>1</v>
      </c>
      <c r="F79" s="184" t="s">
        <v>198</v>
      </c>
      <c r="G79" s="184" t="s">
        <v>200</v>
      </c>
      <c r="H79" s="44" t="str">
        <f t="shared" si="1"/>
        <v>Avon Hampshire|Horticulture|TRUE|700to900|DrainedAr</v>
      </c>
      <c r="I79" s="127">
        <v>0.53003090001774023</v>
      </c>
      <c r="J79" s="127">
        <v>15.646521912237693</v>
      </c>
      <c r="K79" s="34" t="str">
        <f t="shared" ref="K79:K86" si="2">D79&amp;"|"&amp;F79</f>
        <v>Horticulture|700to900</v>
      </c>
      <c r="L79" s="46"/>
      <c r="M79" s="46"/>
      <c r="N79" s="127"/>
      <c r="O79" s="46"/>
      <c r="P79" s="120"/>
    </row>
    <row r="80" spans="2:16" x14ac:dyDescent="0.35">
      <c r="B80" s="130"/>
      <c r="C80" s="184" t="s">
        <v>196</v>
      </c>
      <c r="D80" s="184" t="s">
        <v>204</v>
      </c>
      <c r="E80" s="184" t="b">
        <v>0</v>
      </c>
      <c r="F80" s="184" t="s">
        <v>198</v>
      </c>
      <c r="G80" s="184" t="s">
        <v>201</v>
      </c>
      <c r="H80" s="44" t="str">
        <f t="shared" si="1"/>
        <v>Avon Hampshire|Horticulture|FALSE|700to900|DrainedArGr</v>
      </c>
      <c r="I80" s="127">
        <v>0.79724698606827527</v>
      </c>
      <c r="J80" s="127">
        <v>13.885373858134274</v>
      </c>
      <c r="K80" s="34" t="str">
        <f t="shared" si="2"/>
        <v>Horticulture|700to900</v>
      </c>
      <c r="L80" s="127"/>
      <c r="M80" s="127"/>
      <c r="N80" s="127"/>
      <c r="O80" s="46"/>
      <c r="P80" s="120"/>
    </row>
    <row r="81" spans="2:16" x14ac:dyDescent="0.35">
      <c r="B81" s="130"/>
      <c r="C81" s="184" t="s">
        <v>196</v>
      </c>
      <c r="D81" s="184" t="s">
        <v>204</v>
      </c>
      <c r="E81" s="184" t="b">
        <v>1</v>
      </c>
      <c r="F81" s="184" t="s">
        <v>202</v>
      </c>
      <c r="G81" s="184" t="s">
        <v>199</v>
      </c>
      <c r="H81" s="44" t="str">
        <f t="shared" si="1"/>
        <v>Avon Hampshire|Horticulture|TRUE|900to1200|FreeDrain</v>
      </c>
      <c r="I81" s="127">
        <v>0.18632791107002292</v>
      </c>
      <c r="J81" s="127">
        <v>22.707856902913832</v>
      </c>
      <c r="K81" s="34" t="str">
        <f t="shared" si="2"/>
        <v>Horticulture|900to1200</v>
      </c>
      <c r="L81" s="46">
        <f>AVERAGE(I81)</f>
        <v>0.18632791107002292</v>
      </c>
      <c r="M81" s="46">
        <f>AVERAGE(J81)</f>
        <v>22.707856902913832</v>
      </c>
      <c r="N81" s="127"/>
      <c r="O81" s="46"/>
      <c r="P81" s="120"/>
    </row>
    <row r="82" spans="2:16" x14ac:dyDescent="0.35">
      <c r="B82" s="130"/>
      <c r="C82" s="184" t="s">
        <v>196</v>
      </c>
      <c r="D82" s="184" t="s">
        <v>205</v>
      </c>
      <c r="E82" s="184" t="b">
        <v>0</v>
      </c>
      <c r="F82" s="184" t="s">
        <v>198</v>
      </c>
      <c r="G82" s="184" t="s">
        <v>199</v>
      </c>
      <c r="H82" s="44" t="str">
        <f t="shared" si="1"/>
        <v>Avon Hampshire|Pig|FALSE|700to900|FreeDrain</v>
      </c>
      <c r="I82" s="127">
        <v>0.12241210394459717</v>
      </c>
      <c r="J82" s="127">
        <v>63.120678665979504</v>
      </c>
      <c r="K82" s="34" t="str">
        <f t="shared" si="2"/>
        <v>Pig|700to900</v>
      </c>
      <c r="L82" s="46">
        <f>AVERAGE(I158,I83:I84)</f>
        <v>0.51360242116144594</v>
      </c>
      <c r="M82" s="46">
        <f>AVERAGE(J158,J83:J84)</f>
        <v>56.773633116991419</v>
      </c>
      <c r="N82" s="127">
        <f>AVERAGE(I82:I86)</f>
        <v>0.24483246011792784</v>
      </c>
      <c r="O82" s="46">
        <f>AVERAGE(J82:J86)</f>
        <v>60.857586575817244</v>
      </c>
      <c r="P82" s="120"/>
    </row>
    <row r="83" spans="2:16" x14ac:dyDescent="0.35">
      <c r="B83" s="130"/>
      <c r="C83" s="184" t="s">
        <v>196</v>
      </c>
      <c r="D83" s="184" t="s">
        <v>205</v>
      </c>
      <c r="E83" s="184" t="b">
        <v>1</v>
      </c>
      <c r="F83" s="184" t="s">
        <v>198</v>
      </c>
      <c r="G83" s="184" t="s">
        <v>199</v>
      </c>
      <c r="H83" s="44" t="str">
        <f t="shared" si="1"/>
        <v>Avon Hampshire|Pig|TRUE|700to900|FreeDrain</v>
      </c>
      <c r="I83" s="127">
        <v>0.12012205828950138</v>
      </c>
      <c r="J83" s="127">
        <v>63.122752788100122</v>
      </c>
      <c r="K83" s="34" t="str">
        <f t="shared" si="2"/>
        <v>Pig|700to900</v>
      </c>
      <c r="L83" s="127"/>
      <c r="M83" s="127"/>
      <c r="N83" s="127"/>
      <c r="O83" s="46"/>
      <c r="P83" s="120"/>
    </row>
    <row r="84" spans="2:16" x14ac:dyDescent="0.35">
      <c r="B84" s="130"/>
      <c r="C84" s="184" t="s">
        <v>196</v>
      </c>
      <c r="D84" s="184" t="s">
        <v>205</v>
      </c>
      <c r="E84" s="184" t="b">
        <v>0</v>
      </c>
      <c r="F84" s="184" t="s">
        <v>198</v>
      </c>
      <c r="G84" s="184" t="s">
        <v>200</v>
      </c>
      <c r="H84" s="44" t="str">
        <f t="shared" si="1"/>
        <v>Avon Hampshire|Pig|FALSE|700to900|DrainedAr</v>
      </c>
      <c r="I84" s="127">
        <v>0.57013221784710255</v>
      </c>
      <c r="J84" s="127">
        <v>44.715941399405466</v>
      </c>
      <c r="K84" s="34" t="str">
        <f t="shared" si="2"/>
        <v>Pig|700to900</v>
      </c>
      <c r="L84" s="127"/>
      <c r="M84" s="127"/>
      <c r="N84" s="127"/>
      <c r="O84" s="46"/>
      <c r="P84" s="120"/>
    </row>
    <row r="85" spans="2:16" x14ac:dyDescent="0.35">
      <c r="B85" s="130"/>
      <c r="C85" s="184" t="s">
        <v>196</v>
      </c>
      <c r="D85" s="184" t="s">
        <v>205</v>
      </c>
      <c r="E85" s="184" t="b">
        <v>0</v>
      </c>
      <c r="F85" s="184" t="s">
        <v>202</v>
      </c>
      <c r="G85" s="184" t="s">
        <v>199</v>
      </c>
      <c r="H85" s="44" t="str">
        <f t="shared" si="1"/>
        <v>Avon Hampshire|Pig|FALSE|900to1200|FreeDrain</v>
      </c>
      <c r="I85" s="127">
        <v>0.20709740369414367</v>
      </c>
      <c r="J85" s="127">
        <v>66.646851131438282</v>
      </c>
      <c r="K85" s="34" t="str">
        <f t="shared" si="2"/>
        <v>Pig|900to1200</v>
      </c>
      <c r="L85" s="46">
        <f>AVERAGE(I85)</f>
        <v>0.20709740369414367</v>
      </c>
      <c r="M85" s="46">
        <f>AVERAGE(J85)</f>
        <v>66.646851131438282</v>
      </c>
      <c r="N85" s="127"/>
      <c r="O85" s="46"/>
      <c r="P85" s="120"/>
    </row>
    <row r="86" spans="2:16" x14ac:dyDescent="0.35">
      <c r="B86" s="130"/>
      <c r="C86" s="184" t="s">
        <v>196</v>
      </c>
      <c r="D86" s="184" t="s">
        <v>205</v>
      </c>
      <c r="E86" s="184" t="b">
        <v>1</v>
      </c>
      <c r="F86" s="184" t="s">
        <v>202</v>
      </c>
      <c r="G86" s="184" t="s">
        <v>199</v>
      </c>
      <c r="H86" s="44" t="str">
        <f t="shared" si="1"/>
        <v>Avon Hampshire|Pig|TRUE|900to1200|FreeDrain</v>
      </c>
      <c r="I86" s="127">
        <v>0.20439851681429441</v>
      </c>
      <c r="J86" s="127">
        <v>66.681708894162838</v>
      </c>
      <c r="K86" s="34" t="str">
        <f t="shared" si="2"/>
        <v>Pig|900to1200</v>
      </c>
      <c r="L86" s="127"/>
      <c r="M86" s="127"/>
      <c r="N86" s="127"/>
      <c r="O86" s="46"/>
      <c r="P86" s="120"/>
    </row>
    <row r="87" spans="2:16" x14ac:dyDescent="0.35">
      <c r="B87" s="130"/>
      <c r="C87" s="184" t="s">
        <v>196</v>
      </c>
      <c r="D87" s="184" t="s">
        <v>206</v>
      </c>
      <c r="E87" s="184" t="b">
        <v>0</v>
      </c>
      <c r="F87" s="184" t="s">
        <v>198</v>
      </c>
      <c r="G87" s="184" t="s">
        <v>199</v>
      </c>
      <c r="H87" s="44" t="str">
        <f>C87&amp;"|"&amp;D87&amp;"|"&amp;E87&amp;"|"&amp;F87&amp;"|"&amp;G87</f>
        <v>Avon Hampshire|Poultry|FALSE|700to900|FreeDrain</v>
      </c>
      <c r="I87" s="127">
        <v>0.13657994517784605</v>
      </c>
      <c r="J87" s="127">
        <v>121.61283600621528</v>
      </c>
      <c r="K87" s="44" t="str">
        <f>D87&amp;"|"&amp;F87</f>
        <v>Poultry|700to900</v>
      </c>
      <c r="L87" s="46">
        <f>AVERAGE(I91,I88:I89)</f>
        <v>0.47097511502965733</v>
      </c>
      <c r="M87" s="46">
        <f>AVERAGE(J91,J88:J89)</f>
        <v>89.603268201846092</v>
      </c>
      <c r="N87" s="127">
        <f>AVERAGE(I87:I93)</f>
        <v>0.50719371742761676</v>
      </c>
      <c r="O87" s="46">
        <f>AVERAGE(J87:J93)</f>
        <v>95.320102923041887</v>
      </c>
      <c r="P87" s="120"/>
    </row>
    <row r="88" spans="2:16" x14ac:dyDescent="0.35">
      <c r="B88" s="130"/>
      <c r="C88" s="184" t="s">
        <v>196</v>
      </c>
      <c r="D88" s="184" t="s">
        <v>206</v>
      </c>
      <c r="E88" s="184" t="b">
        <v>1</v>
      </c>
      <c r="F88" s="184" t="s">
        <v>198</v>
      </c>
      <c r="G88" s="184" t="s">
        <v>199</v>
      </c>
      <c r="H88" s="44" t="str">
        <f>C88&amp;"|"&amp;D88&amp;"|"&amp;E88&amp;"|"&amp;F88&amp;"|"&amp;G88</f>
        <v>Avon Hampshire|Poultry|TRUE|700to900|FreeDrain</v>
      </c>
      <c r="I88" s="127">
        <v>0.13367122956018268</v>
      </c>
      <c r="J88" s="127">
        <v>122.10844746057512</v>
      </c>
      <c r="K88" s="44" t="str">
        <f t="shared" ref="K88:K120" si="3">D88&amp;"|"&amp;F88</f>
        <v>Poultry|700to900</v>
      </c>
      <c r="L88" s="127"/>
      <c r="M88" s="127"/>
      <c r="N88" s="127"/>
      <c r="O88" s="46"/>
      <c r="P88" s="120"/>
    </row>
    <row r="89" spans="2:16" x14ac:dyDescent="0.35">
      <c r="B89" s="130"/>
      <c r="C89" s="184" t="s">
        <v>196</v>
      </c>
      <c r="D89" s="184" t="s">
        <v>206</v>
      </c>
      <c r="E89" s="184" t="b">
        <v>0</v>
      </c>
      <c r="F89" s="184" t="s">
        <v>198</v>
      </c>
      <c r="G89" s="184" t="s">
        <v>200</v>
      </c>
      <c r="H89" s="44" t="str">
        <f>C89&amp;"|"&amp;D89&amp;"|"&amp;E89&amp;"|"&amp;F89&amp;"|"&amp;G89</f>
        <v>Avon Hampshire|Poultry|FALSE|700to900|DrainedAr</v>
      </c>
      <c r="I89" s="127">
        <v>0.42810575095752934</v>
      </c>
      <c r="J89" s="127">
        <v>84.1380698964891</v>
      </c>
      <c r="K89" s="44" t="str">
        <f t="shared" si="3"/>
        <v>Poultry|700to900</v>
      </c>
      <c r="L89" s="127"/>
      <c r="M89" s="127"/>
      <c r="N89" s="127"/>
      <c r="O89" s="46"/>
      <c r="P89" s="120"/>
    </row>
    <row r="90" spans="2:16" x14ac:dyDescent="0.35">
      <c r="B90" s="130"/>
      <c r="C90" s="184" t="s">
        <v>196</v>
      </c>
      <c r="D90" s="184" t="s">
        <v>206</v>
      </c>
      <c r="E90" s="184" t="b">
        <v>1</v>
      </c>
      <c r="F90" s="184" t="s">
        <v>198</v>
      </c>
      <c r="G90" s="184" t="s">
        <v>200</v>
      </c>
      <c r="H90" s="44" t="str">
        <f t="shared" ref="H90:H121" si="4">C90&amp;"|"&amp;D90&amp;"|"&amp;E90&amp;"|"&amp;F90&amp;"|"&amp;G90</f>
        <v>Avon Hampshire|Poultry|TRUE|700to900|DrainedAr</v>
      </c>
      <c r="I90" s="127">
        <v>0.40888959396374486</v>
      </c>
      <c r="J90" s="127">
        <v>81.036363426474622</v>
      </c>
      <c r="K90" s="44" t="str">
        <f t="shared" si="3"/>
        <v>Poultry|700to900</v>
      </c>
      <c r="L90" s="127"/>
      <c r="M90" s="127"/>
      <c r="N90" s="127"/>
      <c r="O90" s="46"/>
      <c r="P90" s="120"/>
    </row>
    <row r="91" spans="2:16" x14ac:dyDescent="0.35">
      <c r="B91" s="130"/>
      <c r="C91" s="184" t="s">
        <v>196</v>
      </c>
      <c r="D91" s="184" t="s">
        <v>206</v>
      </c>
      <c r="E91" s="184" t="b">
        <v>1</v>
      </c>
      <c r="F91" s="184" t="s">
        <v>198</v>
      </c>
      <c r="G91" s="184" t="s">
        <v>201</v>
      </c>
      <c r="H91" s="44" t="str">
        <f t="shared" si="4"/>
        <v>Avon Hampshire|Poultry|TRUE|700to900|DrainedArGr</v>
      </c>
      <c r="I91" s="127">
        <v>0.85114836457125986</v>
      </c>
      <c r="J91" s="127">
        <v>62.563287248474026</v>
      </c>
      <c r="K91" s="44" t="str">
        <f t="shared" si="3"/>
        <v>Poultry|700to900</v>
      </c>
      <c r="L91" s="127"/>
      <c r="M91" s="127"/>
      <c r="N91" s="127"/>
      <c r="O91" s="46"/>
      <c r="P91" s="120"/>
    </row>
    <row r="92" spans="2:16" x14ac:dyDescent="0.35">
      <c r="B92" s="130"/>
      <c r="C92" s="184" t="s">
        <v>196</v>
      </c>
      <c r="D92" s="184" t="s">
        <v>206</v>
      </c>
      <c r="E92" s="184" t="b">
        <v>1</v>
      </c>
      <c r="F92" s="184" t="s">
        <v>202</v>
      </c>
      <c r="G92" s="184" t="s">
        <v>199</v>
      </c>
      <c r="H92" s="44" t="str">
        <f t="shared" si="4"/>
        <v>Avon Hampshire|Poultry|TRUE|900to1200|FreeDrain</v>
      </c>
      <c r="I92" s="127">
        <v>0.21136924365308013</v>
      </c>
      <c r="J92" s="127">
        <v>127.87328693800973</v>
      </c>
      <c r="K92" s="44" t="str">
        <f t="shared" si="3"/>
        <v>Poultry|900to1200</v>
      </c>
      <c r="L92" s="46">
        <f>AVERAGE(I92:I93)</f>
        <v>0.79598056888137714</v>
      </c>
      <c r="M92" s="46">
        <f>AVERAGE(J92:J93)</f>
        <v>97.890858211532532</v>
      </c>
      <c r="N92" s="127"/>
      <c r="O92" s="46"/>
      <c r="P92" s="120"/>
    </row>
    <row r="93" spans="2:16" x14ac:dyDescent="0.35">
      <c r="B93" s="130"/>
      <c r="C93" s="184" t="s">
        <v>196</v>
      </c>
      <c r="D93" s="184" t="s">
        <v>206</v>
      </c>
      <c r="E93" s="184" t="b">
        <v>1</v>
      </c>
      <c r="F93" s="184" t="s">
        <v>202</v>
      </c>
      <c r="G93" s="184" t="s">
        <v>201</v>
      </c>
      <c r="H93" s="44" t="str">
        <f t="shared" si="4"/>
        <v>Avon Hampshire|Poultry|TRUE|900to1200|DrainedArGr</v>
      </c>
      <c r="I93" s="127">
        <v>1.3805918941096742</v>
      </c>
      <c r="J93" s="127">
        <v>67.908429485055336</v>
      </c>
      <c r="K93" s="44" t="str">
        <f t="shared" si="3"/>
        <v>Poultry|900to1200</v>
      </c>
      <c r="L93" s="127"/>
      <c r="M93" s="127"/>
      <c r="N93" s="127"/>
      <c r="O93" s="46"/>
      <c r="P93" s="120"/>
    </row>
    <row r="94" spans="2:16" x14ac:dyDescent="0.35">
      <c r="B94" s="130"/>
      <c r="C94" s="184" t="s">
        <v>196</v>
      </c>
      <c r="D94" s="184" t="s">
        <v>207</v>
      </c>
      <c r="E94" s="184" t="b">
        <v>0</v>
      </c>
      <c r="F94" s="184" t="s">
        <v>198</v>
      </c>
      <c r="G94" s="184" t="s">
        <v>199</v>
      </c>
      <c r="H94" s="44" t="str">
        <f t="shared" si="4"/>
        <v>Avon Hampshire|Dairy|FALSE|700to900|FreeDrain</v>
      </c>
      <c r="I94" s="127">
        <v>0.11393038762547736</v>
      </c>
      <c r="J94" s="127">
        <v>30.607642819713753</v>
      </c>
      <c r="K94" s="44" t="str">
        <f t="shared" si="3"/>
        <v>Dairy|700to900</v>
      </c>
      <c r="L94" s="46">
        <f>AVERAGE(I97:I98,I94)</f>
        <v>0.42897976512350122</v>
      </c>
      <c r="M94" s="46">
        <f>AVERAGE(J97:J98,J94)</f>
        <v>23.023347006492326</v>
      </c>
      <c r="N94" s="127">
        <f>AVERAGE(I94:I101)</f>
        <v>0.43468153865234316</v>
      </c>
      <c r="O94" s="46">
        <f>AVERAGE(J94:J101)</f>
        <v>25.882399636361516</v>
      </c>
      <c r="P94" s="120"/>
    </row>
    <row r="95" spans="2:16" x14ac:dyDescent="0.35">
      <c r="B95" s="130"/>
      <c r="C95" s="184" t="s">
        <v>196</v>
      </c>
      <c r="D95" s="184" t="s">
        <v>207</v>
      </c>
      <c r="E95" s="184" t="b">
        <v>1</v>
      </c>
      <c r="F95" s="184" t="s">
        <v>198</v>
      </c>
      <c r="G95" s="184" t="s">
        <v>199</v>
      </c>
      <c r="H95" s="44" t="str">
        <f t="shared" si="4"/>
        <v>Avon Hampshire|Dairy|TRUE|700to900|FreeDrain</v>
      </c>
      <c r="I95" s="127">
        <v>0.11305257873458574</v>
      </c>
      <c r="J95" s="127">
        <v>30.32923066587891</v>
      </c>
      <c r="K95" s="44" t="str">
        <f t="shared" si="3"/>
        <v>Dairy|700to900</v>
      </c>
      <c r="L95" s="127"/>
      <c r="M95" s="127"/>
      <c r="N95" s="127"/>
      <c r="O95" s="46"/>
      <c r="P95" s="120"/>
    </row>
    <row r="96" spans="2:16" x14ac:dyDescent="0.35">
      <c r="B96" s="130"/>
      <c r="C96" s="184" t="s">
        <v>196</v>
      </c>
      <c r="D96" s="184" t="s">
        <v>207</v>
      </c>
      <c r="E96" s="184" t="b">
        <v>0</v>
      </c>
      <c r="F96" s="184" t="s">
        <v>198</v>
      </c>
      <c r="G96" s="184" t="s">
        <v>200</v>
      </c>
      <c r="H96" s="44" t="str">
        <f t="shared" si="4"/>
        <v>Avon Hampshire|Dairy|FALSE|700to900|DrainedAr</v>
      </c>
      <c r="I96" s="127">
        <v>0.26077853172897664</v>
      </c>
      <c r="J96" s="127">
        <v>23.690267717359031</v>
      </c>
      <c r="K96" s="44" t="str">
        <f t="shared" si="3"/>
        <v>Dairy|700to900</v>
      </c>
      <c r="L96" s="127"/>
      <c r="M96" s="127"/>
      <c r="N96" s="127"/>
      <c r="O96" s="46"/>
      <c r="P96" s="120"/>
    </row>
    <row r="97" spans="2:16" x14ac:dyDescent="0.35">
      <c r="B97" s="130"/>
      <c r="C97" s="184" t="s">
        <v>196</v>
      </c>
      <c r="D97" s="184" t="s">
        <v>207</v>
      </c>
      <c r="E97" s="184" t="b">
        <v>1</v>
      </c>
      <c r="F97" s="184" t="s">
        <v>198</v>
      </c>
      <c r="G97" s="184" t="s">
        <v>200</v>
      </c>
      <c r="H97" s="44" t="str">
        <f t="shared" si="4"/>
        <v>Avon Hampshire|Dairy|TRUE|700to900|DrainedAr</v>
      </c>
      <c r="I97" s="127">
        <v>0.25953093319681675</v>
      </c>
      <c r="J97" s="127">
        <v>23.462501263501437</v>
      </c>
      <c r="K97" s="44" t="str">
        <f t="shared" si="3"/>
        <v>Dairy|700to900</v>
      </c>
      <c r="L97" s="127"/>
      <c r="M97" s="127"/>
      <c r="N97" s="127"/>
      <c r="O97" s="46"/>
      <c r="P97" s="120"/>
    </row>
    <row r="98" spans="2:16" x14ac:dyDescent="0.35">
      <c r="B98" s="130"/>
      <c r="C98" s="184" t="s">
        <v>196</v>
      </c>
      <c r="D98" s="184" t="s">
        <v>207</v>
      </c>
      <c r="E98" s="184" t="b">
        <v>0</v>
      </c>
      <c r="F98" s="184" t="s">
        <v>198</v>
      </c>
      <c r="G98" s="184" t="s">
        <v>201</v>
      </c>
      <c r="H98" s="44" t="str">
        <f t="shared" si="4"/>
        <v>Avon Hampshire|Dairy|FALSE|700to900|DrainedArGr</v>
      </c>
      <c r="I98" s="127">
        <v>0.91347797454820956</v>
      </c>
      <c r="J98" s="127">
        <v>14.999896936261795</v>
      </c>
      <c r="K98" s="44" t="str">
        <f t="shared" si="3"/>
        <v>Dairy|700to900</v>
      </c>
      <c r="L98" s="127"/>
      <c r="M98" s="127"/>
      <c r="N98" s="127"/>
      <c r="O98" s="46"/>
      <c r="P98" s="120"/>
    </row>
    <row r="99" spans="2:16" x14ac:dyDescent="0.35">
      <c r="B99" s="130"/>
      <c r="C99" s="184" t="s">
        <v>196</v>
      </c>
      <c r="D99" s="184" t="s">
        <v>207</v>
      </c>
      <c r="E99" s="184" t="b">
        <v>0</v>
      </c>
      <c r="F99" s="184" t="s">
        <v>202</v>
      </c>
      <c r="G99" s="184" t="s">
        <v>199</v>
      </c>
      <c r="H99" s="44" t="str">
        <f t="shared" si="4"/>
        <v>Avon Hampshire|Dairy|FALSE|900to1200|FreeDrain</v>
      </c>
      <c r="I99" s="127">
        <v>0.17511185993932585</v>
      </c>
      <c r="J99" s="127">
        <v>32.321786208301958</v>
      </c>
      <c r="K99" s="44" t="str">
        <f t="shared" si="3"/>
        <v>Dairy|900to1200</v>
      </c>
      <c r="L99" s="46">
        <f>AVERAGE(I100:I101)</f>
        <v>0.82078502172267664</v>
      </c>
      <c r="M99" s="46">
        <f>AVERAGE(J100:J101)</f>
        <v>25.823935739937625</v>
      </c>
      <c r="N99" s="127"/>
      <c r="O99" s="46"/>
      <c r="P99" s="120"/>
    </row>
    <row r="100" spans="2:16" x14ac:dyDescent="0.35">
      <c r="B100" s="130"/>
      <c r="C100" s="184" t="s">
        <v>196</v>
      </c>
      <c r="D100" s="184" t="s">
        <v>207</v>
      </c>
      <c r="E100" s="184" t="b">
        <v>1</v>
      </c>
      <c r="F100" s="184" t="s">
        <v>202</v>
      </c>
      <c r="G100" s="184" t="s">
        <v>199</v>
      </c>
      <c r="H100" s="44" t="str">
        <f t="shared" si="4"/>
        <v>Avon Hampshire|Dairy|TRUE|900to1200|FreeDrain</v>
      </c>
      <c r="I100" s="127">
        <v>0.17399310150958103</v>
      </c>
      <c r="J100" s="127">
        <v>32.029429693490435</v>
      </c>
      <c r="K100" s="44" t="str">
        <f t="shared" si="3"/>
        <v>Dairy|900to1200</v>
      </c>
      <c r="L100" s="127"/>
      <c r="M100" s="127"/>
      <c r="N100" s="127"/>
      <c r="O100" s="46"/>
      <c r="P100" s="120"/>
    </row>
    <row r="101" spans="2:16" x14ac:dyDescent="0.35">
      <c r="B101" s="130"/>
      <c r="C101" s="184" t="s">
        <v>196</v>
      </c>
      <c r="D101" s="184" t="s">
        <v>207</v>
      </c>
      <c r="E101" s="184" t="b">
        <v>0</v>
      </c>
      <c r="F101" s="184" t="s">
        <v>202</v>
      </c>
      <c r="G101" s="184" t="s">
        <v>201</v>
      </c>
      <c r="H101" s="44" t="str">
        <f t="shared" si="4"/>
        <v>Avon Hampshire|Dairy|FALSE|900to1200|DrainedArGr</v>
      </c>
      <c r="I101" s="127">
        <v>1.4675769419357723</v>
      </c>
      <c r="J101" s="127">
        <v>19.618441786384814</v>
      </c>
      <c r="K101" s="44" t="str">
        <f t="shared" si="3"/>
        <v>Dairy|900to1200</v>
      </c>
      <c r="L101" s="127"/>
      <c r="M101" s="127"/>
      <c r="N101" s="127"/>
      <c r="O101" s="46"/>
      <c r="P101" s="120"/>
    </row>
    <row r="102" spans="2:16" x14ac:dyDescent="0.35">
      <c r="B102" s="130"/>
      <c r="C102" s="184" t="s">
        <v>196</v>
      </c>
      <c r="D102" s="184" t="s">
        <v>208</v>
      </c>
      <c r="E102" s="184" t="b">
        <v>0</v>
      </c>
      <c r="F102" s="184" t="s">
        <v>198</v>
      </c>
      <c r="G102" s="184" t="s">
        <v>199</v>
      </c>
      <c r="H102" s="44" t="str">
        <f t="shared" si="4"/>
        <v>Avon Hampshire|Lowland|FALSE|700to900|FreeDrain</v>
      </c>
      <c r="I102" s="127">
        <v>7.1896929003538571E-2</v>
      </c>
      <c r="J102" s="127">
        <v>11.061331312800155</v>
      </c>
      <c r="K102" s="44" t="str">
        <f t="shared" si="3"/>
        <v>Lowland|700to900</v>
      </c>
      <c r="L102" s="46">
        <f>AVERAGE(I105:I106,I102)</f>
        <v>0.22284713319178073</v>
      </c>
      <c r="M102" s="46">
        <f>AVERAGE(J105:J106,J102)</f>
        <v>8.6888573223491736</v>
      </c>
      <c r="N102" s="127">
        <f>AVERAGE(I102:I112)</f>
        <v>0.25662107261826994</v>
      </c>
      <c r="O102" s="46">
        <f>AVERAGE(J102:J112)</f>
        <v>9.5702223859445308</v>
      </c>
      <c r="P102" s="120"/>
    </row>
    <row r="103" spans="2:16" x14ac:dyDescent="0.35">
      <c r="B103" s="130"/>
      <c r="C103" s="184" t="s">
        <v>196</v>
      </c>
      <c r="D103" s="184" t="s">
        <v>208</v>
      </c>
      <c r="E103" s="184" t="b">
        <v>1</v>
      </c>
      <c r="F103" s="184" t="s">
        <v>198</v>
      </c>
      <c r="G103" s="184" t="s">
        <v>199</v>
      </c>
      <c r="H103" s="44" t="str">
        <f t="shared" si="4"/>
        <v>Avon Hampshire|Lowland|TRUE|700to900|FreeDrain</v>
      </c>
      <c r="I103" s="127">
        <v>7.1896770606270199E-2</v>
      </c>
      <c r="J103" s="127">
        <v>10.994479617747839</v>
      </c>
      <c r="K103" s="44" t="str">
        <f>D103&amp;"|"&amp;F103</f>
        <v>Lowland|700to900</v>
      </c>
      <c r="L103" s="127"/>
      <c r="M103" s="127"/>
      <c r="N103" s="127"/>
      <c r="O103" s="46"/>
      <c r="P103" s="120"/>
    </row>
    <row r="104" spans="2:16" x14ac:dyDescent="0.35">
      <c r="B104" s="130"/>
      <c r="C104" s="184" t="s">
        <v>196</v>
      </c>
      <c r="D104" s="184" t="s">
        <v>208</v>
      </c>
      <c r="E104" s="184" t="b">
        <v>0</v>
      </c>
      <c r="F104" s="184" t="s">
        <v>198</v>
      </c>
      <c r="G104" s="184" t="s">
        <v>200</v>
      </c>
      <c r="H104" s="44" t="str">
        <f t="shared" si="4"/>
        <v>Avon Hampshire|Lowland|FALSE|700to900|DrainedAr</v>
      </c>
      <c r="I104" s="127">
        <v>0.12145486570004119</v>
      </c>
      <c r="J104" s="127">
        <v>8.7950824297909094</v>
      </c>
      <c r="K104" s="44" t="str">
        <f t="shared" si="3"/>
        <v>Lowland|700to900</v>
      </c>
      <c r="L104" s="127"/>
      <c r="M104" s="127"/>
      <c r="N104" s="127"/>
      <c r="O104" s="46"/>
      <c r="P104" s="120"/>
    </row>
    <row r="105" spans="2:16" x14ac:dyDescent="0.35">
      <c r="B105" s="130"/>
      <c r="C105" s="184" t="s">
        <v>196</v>
      </c>
      <c r="D105" s="184" t="s">
        <v>208</v>
      </c>
      <c r="E105" s="184" t="b">
        <v>1</v>
      </c>
      <c r="F105" s="184" t="s">
        <v>198</v>
      </c>
      <c r="G105" s="184" t="s">
        <v>200</v>
      </c>
      <c r="H105" s="44" t="str">
        <f t="shared" si="4"/>
        <v>Avon Hampshire|Lowland|TRUE|700to900|DrainedAr</v>
      </c>
      <c r="I105" s="127">
        <v>0.12145466918083711</v>
      </c>
      <c r="J105" s="127">
        <v>8.7438723076196236</v>
      </c>
      <c r="K105" s="44" t="str">
        <f t="shared" si="3"/>
        <v>Lowland|700to900</v>
      </c>
      <c r="L105" s="127"/>
      <c r="M105" s="127"/>
      <c r="N105" s="127"/>
      <c r="O105" s="46"/>
      <c r="P105" s="120"/>
    </row>
    <row r="106" spans="2:16" x14ac:dyDescent="0.35">
      <c r="B106" s="130"/>
      <c r="C106" s="184" t="s">
        <v>196</v>
      </c>
      <c r="D106" s="184" t="s">
        <v>208</v>
      </c>
      <c r="E106" s="184" t="b">
        <v>0</v>
      </c>
      <c r="F106" s="184" t="s">
        <v>198</v>
      </c>
      <c r="G106" s="184" t="s">
        <v>201</v>
      </c>
      <c r="H106" s="44" t="str">
        <f t="shared" si="4"/>
        <v>Avon Hampshire|Lowland|FALSE|700to900|DrainedArGr</v>
      </c>
      <c r="I106" s="127">
        <v>0.47518980139096645</v>
      </c>
      <c r="J106" s="127">
        <v>6.2613683466277417</v>
      </c>
      <c r="K106" s="44" t="str">
        <f t="shared" si="3"/>
        <v>Lowland|700to900</v>
      </c>
      <c r="L106" s="127"/>
      <c r="M106" s="127"/>
      <c r="N106" s="127"/>
      <c r="O106" s="46"/>
      <c r="P106" s="120"/>
    </row>
    <row r="107" spans="2:16" x14ac:dyDescent="0.35">
      <c r="B107" s="130"/>
      <c r="C107" s="184" t="s">
        <v>196</v>
      </c>
      <c r="D107" s="184" t="s">
        <v>208</v>
      </c>
      <c r="E107" s="184" t="b">
        <v>1</v>
      </c>
      <c r="F107" s="184" t="s">
        <v>198</v>
      </c>
      <c r="G107" s="184" t="s">
        <v>201</v>
      </c>
      <c r="H107" s="44" t="str">
        <f t="shared" si="4"/>
        <v>Avon Hampshire|Lowland|TRUE|700to900|DrainedArGr</v>
      </c>
      <c r="I107" s="127">
        <v>0.47516358666586633</v>
      </c>
      <c r="J107" s="127">
        <v>6.2473351029409825</v>
      </c>
      <c r="K107" s="44" t="str">
        <f t="shared" si="3"/>
        <v>Lowland|700to900</v>
      </c>
      <c r="L107" s="127"/>
      <c r="M107" s="127"/>
      <c r="N107" s="127"/>
      <c r="O107" s="46"/>
      <c r="P107" s="120"/>
    </row>
    <row r="108" spans="2:16" x14ac:dyDescent="0.35">
      <c r="B108" s="130"/>
      <c r="C108" s="184" t="s">
        <v>196</v>
      </c>
      <c r="D108" s="184" t="s">
        <v>208</v>
      </c>
      <c r="E108" s="184" t="b">
        <v>0</v>
      </c>
      <c r="F108" s="184" t="s">
        <v>202</v>
      </c>
      <c r="G108" s="184" t="s">
        <v>199</v>
      </c>
      <c r="H108" s="44" t="str">
        <f t="shared" si="4"/>
        <v>Avon Hampshire|Lowland|FALSE|900to1200|FreeDrain</v>
      </c>
      <c r="I108" s="127">
        <v>0.11777783369491578</v>
      </c>
      <c r="J108" s="127">
        <v>11.673626719822256</v>
      </c>
      <c r="K108" s="44" t="str">
        <f t="shared" si="3"/>
        <v>Lowland|900to1200</v>
      </c>
      <c r="L108" s="46">
        <f>AVERAGE(I111:I112,I108)</f>
        <v>0.38420491228099035</v>
      </c>
      <c r="M108" s="46">
        <f>AVERAGE(J111:J112,J108)</f>
        <v>10.212502495964275</v>
      </c>
      <c r="N108" s="127"/>
      <c r="O108" s="46"/>
      <c r="P108" s="120"/>
    </row>
    <row r="109" spans="2:16" x14ac:dyDescent="0.35">
      <c r="B109" s="130"/>
      <c r="C109" s="184" t="s">
        <v>196</v>
      </c>
      <c r="D109" s="184" t="s">
        <v>208</v>
      </c>
      <c r="E109" s="184" t="b">
        <v>1</v>
      </c>
      <c r="F109" s="184" t="s">
        <v>202</v>
      </c>
      <c r="G109" s="184" t="s">
        <v>199</v>
      </c>
      <c r="H109" s="44" t="str">
        <f t="shared" si="4"/>
        <v>Avon Hampshire|Lowland|TRUE|900to1200|FreeDrain</v>
      </c>
      <c r="I109" s="127">
        <v>0.11777763143720793</v>
      </c>
      <c r="J109" s="127">
        <v>11.605532748694879</v>
      </c>
      <c r="K109" s="44" t="str">
        <f t="shared" si="3"/>
        <v>Lowland|900to1200</v>
      </c>
      <c r="L109" s="127"/>
      <c r="M109" s="127"/>
      <c r="N109" s="127"/>
      <c r="O109" s="46"/>
      <c r="P109" s="120"/>
    </row>
    <row r="110" spans="2:16" x14ac:dyDescent="0.35">
      <c r="B110" s="130"/>
      <c r="C110" s="184" t="s">
        <v>196</v>
      </c>
      <c r="D110" s="184" t="s">
        <v>208</v>
      </c>
      <c r="E110" s="184" t="b">
        <v>0</v>
      </c>
      <c r="F110" s="184" t="s">
        <v>202</v>
      </c>
      <c r="G110" s="184" t="s">
        <v>200</v>
      </c>
      <c r="H110" s="44" t="str">
        <f t="shared" si="4"/>
        <v>Avon Hampshire|Lowland|FALSE|900to1200|DrainedAr</v>
      </c>
      <c r="I110" s="127">
        <v>0.21538280797327078</v>
      </c>
      <c r="J110" s="127">
        <v>10.925936891274878</v>
      </c>
      <c r="K110" s="44" t="str">
        <f t="shared" si="3"/>
        <v>Lowland|900to1200</v>
      </c>
      <c r="L110" s="127"/>
      <c r="M110" s="127"/>
      <c r="N110" s="127"/>
      <c r="O110" s="46"/>
      <c r="P110" s="120"/>
    </row>
    <row r="111" spans="2:16" x14ac:dyDescent="0.35">
      <c r="B111" s="130"/>
      <c r="C111" s="184" t="s">
        <v>196</v>
      </c>
      <c r="D111" s="184" t="s">
        <v>208</v>
      </c>
      <c r="E111" s="184" t="b">
        <v>1</v>
      </c>
      <c r="F111" s="184" t="s">
        <v>202</v>
      </c>
      <c r="G111" s="184" t="s">
        <v>200</v>
      </c>
      <c r="H111" s="44" t="str">
        <f t="shared" si="4"/>
        <v>Avon Hampshire|Lowland|TRUE|900to1200|DrainedAr</v>
      </c>
      <c r="I111" s="127">
        <v>0.2153825488373492</v>
      </c>
      <c r="J111" s="127">
        <v>10.864198290926337</v>
      </c>
      <c r="K111" s="44" t="str">
        <f t="shared" si="3"/>
        <v>Lowland|900to1200</v>
      </c>
      <c r="L111" s="127"/>
      <c r="M111" s="127"/>
      <c r="N111" s="127"/>
      <c r="O111" s="46"/>
      <c r="P111" s="120"/>
    </row>
    <row r="112" spans="2:16" x14ac:dyDescent="0.35">
      <c r="B112" s="130"/>
      <c r="C112" s="184" t="s">
        <v>196</v>
      </c>
      <c r="D112" s="184" t="s">
        <v>208</v>
      </c>
      <c r="E112" s="184" t="b">
        <v>0</v>
      </c>
      <c r="F112" s="184" t="s">
        <v>202</v>
      </c>
      <c r="G112" s="184" t="s">
        <v>201</v>
      </c>
      <c r="H112" s="44" t="str">
        <f t="shared" si="4"/>
        <v>Avon Hampshire|Lowland|FALSE|900to1200|DrainedArGr</v>
      </c>
      <c r="I112" s="127">
        <v>0.81945435431070623</v>
      </c>
      <c r="J112" s="127">
        <v>8.0996824771442313</v>
      </c>
      <c r="K112" s="44" t="str">
        <f t="shared" si="3"/>
        <v>Lowland|900to1200</v>
      </c>
      <c r="L112" s="127"/>
      <c r="M112" s="127"/>
      <c r="N112" s="127"/>
      <c r="O112" s="46"/>
      <c r="P112" s="120"/>
    </row>
    <row r="113" spans="2:16" x14ac:dyDescent="0.35">
      <c r="B113" s="130"/>
      <c r="C113" s="184" t="s">
        <v>196</v>
      </c>
      <c r="D113" s="184" t="s">
        <v>209</v>
      </c>
      <c r="E113" s="184" t="b">
        <v>0</v>
      </c>
      <c r="F113" s="184" t="s">
        <v>198</v>
      </c>
      <c r="G113" s="184" t="s">
        <v>199</v>
      </c>
      <c r="H113" s="44" t="str">
        <f t="shared" si="4"/>
        <v>Avon Hampshire|Mixed|FALSE|700to900|FreeDrain</v>
      </c>
      <c r="I113" s="127">
        <v>0.10246250653378378</v>
      </c>
      <c r="J113" s="127">
        <v>22.161660212293377</v>
      </c>
      <c r="K113" s="44" t="str">
        <f t="shared" si="3"/>
        <v>Mixed|700to900</v>
      </c>
      <c r="L113" s="46">
        <f>AVERAGE(I116:I117,I113)</f>
        <v>0.42240315089437691</v>
      </c>
      <c r="M113" s="46">
        <f>AVERAGE(J116:J117,J113)</f>
        <v>17.886362161932638</v>
      </c>
      <c r="N113" s="127">
        <f>AVERAGE(I113:I121)</f>
        <v>0.52510454631530656</v>
      </c>
      <c r="O113" s="46">
        <f>AVERAGE(J113:J121)</f>
        <v>18.769285906023899</v>
      </c>
      <c r="P113" s="120"/>
    </row>
    <row r="114" spans="2:16" x14ac:dyDescent="0.35">
      <c r="B114" s="130"/>
      <c r="C114" s="184" t="s">
        <v>196</v>
      </c>
      <c r="D114" s="184" t="s">
        <v>209</v>
      </c>
      <c r="E114" s="184" t="b">
        <v>1</v>
      </c>
      <c r="F114" s="184" t="s">
        <v>198</v>
      </c>
      <c r="G114" s="184" t="s">
        <v>199</v>
      </c>
      <c r="H114" s="44" t="str">
        <f t="shared" si="4"/>
        <v>Avon Hampshire|Mixed|TRUE|700to900|FreeDrain</v>
      </c>
      <c r="I114" s="127">
        <v>0.10225131316035546</v>
      </c>
      <c r="J114" s="127">
        <v>22.04972640617401</v>
      </c>
      <c r="K114" s="44" t="str">
        <f t="shared" si="3"/>
        <v>Mixed|700to900</v>
      </c>
      <c r="L114" s="127"/>
      <c r="M114" s="127"/>
      <c r="N114" s="127"/>
      <c r="O114" s="46"/>
      <c r="P114" s="120"/>
    </row>
    <row r="115" spans="2:16" x14ac:dyDescent="0.35">
      <c r="B115" s="130"/>
      <c r="C115" s="184" t="s">
        <v>196</v>
      </c>
      <c r="D115" s="184" t="s">
        <v>209</v>
      </c>
      <c r="E115" s="184" t="b">
        <v>0</v>
      </c>
      <c r="F115" s="184" t="s">
        <v>198</v>
      </c>
      <c r="G115" s="184" t="s">
        <v>200</v>
      </c>
      <c r="H115" s="44" t="str">
        <f t="shared" si="4"/>
        <v>Avon Hampshire|Mixed|FALSE|700to900|DrainedAr</v>
      </c>
      <c r="I115" s="127">
        <v>0.40659407920963725</v>
      </c>
      <c r="J115" s="127">
        <v>17.208400170212286</v>
      </c>
      <c r="K115" s="44" t="str">
        <f t="shared" si="3"/>
        <v>Mixed|700to900</v>
      </c>
      <c r="L115" s="127"/>
      <c r="M115" s="127"/>
      <c r="N115" s="127"/>
      <c r="O115" s="46"/>
      <c r="P115" s="120"/>
    </row>
    <row r="116" spans="2:16" x14ac:dyDescent="0.35">
      <c r="B116" s="130"/>
      <c r="C116" s="184" t="s">
        <v>196</v>
      </c>
      <c r="D116" s="184" t="s">
        <v>209</v>
      </c>
      <c r="E116" s="184" t="b">
        <v>1</v>
      </c>
      <c r="F116" s="184" t="s">
        <v>198</v>
      </c>
      <c r="G116" s="184" t="s">
        <v>200</v>
      </c>
      <c r="H116" s="44" t="str">
        <f t="shared" si="4"/>
        <v>Avon Hampshire|Mixed|TRUE|700to900|DrainedAr</v>
      </c>
      <c r="I116" s="127">
        <v>0.40507898825840866</v>
      </c>
      <c r="J116" s="127">
        <v>17.035126996778562</v>
      </c>
      <c r="K116" s="44" t="str">
        <f t="shared" si="3"/>
        <v>Mixed|700to900</v>
      </c>
      <c r="L116" s="127"/>
      <c r="M116" s="127"/>
      <c r="N116" s="127"/>
      <c r="O116" s="46"/>
      <c r="P116" s="120"/>
    </row>
    <row r="117" spans="2:16" x14ac:dyDescent="0.35">
      <c r="B117" s="130"/>
      <c r="C117" s="184" t="s">
        <v>196</v>
      </c>
      <c r="D117" s="184" t="s">
        <v>209</v>
      </c>
      <c r="E117" s="184" t="b">
        <v>0</v>
      </c>
      <c r="F117" s="184" t="s">
        <v>198</v>
      </c>
      <c r="G117" s="184" t="s">
        <v>201</v>
      </c>
      <c r="H117" s="44" t="str">
        <f t="shared" si="4"/>
        <v>Avon Hampshire|Mixed|FALSE|700to900|DrainedArGr</v>
      </c>
      <c r="I117" s="127">
        <v>0.75966795789093833</v>
      </c>
      <c r="J117" s="127">
        <v>14.462299276725972</v>
      </c>
      <c r="K117" s="44" t="str">
        <f t="shared" si="3"/>
        <v>Mixed|700to900</v>
      </c>
      <c r="L117" s="127"/>
      <c r="M117" s="127"/>
      <c r="N117" s="127"/>
      <c r="O117" s="46"/>
      <c r="P117" s="120"/>
    </row>
    <row r="118" spans="2:16" x14ac:dyDescent="0.35">
      <c r="B118" s="130"/>
      <c r="C118" s="184" t="s">
        <v>196</v>
      </c>
      <c r="D118" s="184" t="s">
        <v>209</v>
      </c>
      <c r="E118" s="184" t="b">
        <v>1</v>
      </c>
      <c r="F118" s="184" t="s">
        <v>198</v>
      </c>
      <c r="G118" s="184" t="s">
        <v>201</v>
      </c>
      <c r="H118" s="44" t="str">
        <f t="shared" si="4"/>
        <v>Avon Hampshire|Mixed|TRUE|700to900|DrainedArGr</v>
      </c>
      <c r="I118" s="127">
        <v>0.75645326988009232</v>
      </c>
      <c r="J118" s="127">
        <v>14.273307402047147</v>
      </c>
      <c r="K118" s="44" t="str">
        <f t="shared" si="3"/>
        <v>Mixed|700to900</v>
      </c>
      <c r="L118" s="127"/>
      <c r="M118" s="127"/>
      <c r="N118" s="127"/>
      <c r="O118" s="46"/>
      <c r="P118" s="120"/>
    </row>
    <row r="119" spans="2:16" x14ac:dyDescent="0.35">
      <c r="B119" s="130"/>
      <c r="C119" s="184" t="s">
        <v>196</v>
      </c>
      <c r="D119" s="184" t="s">
        <v>209</v>
      </c>
      <c r="E119" s="184" t="b">
        <v>1</v>
      </c>
      <c r="F119" s="184" t="s">
        <v>202</v>
      </c>
      <c r="G119" s="184" t="s">
        <v>199</v>
      </c>
      <c r="H119" s="44" t="str">
        <f t="shared" si="4"/>
        <v>Avon Hampshire|Mixed|TRUE|900to1200|FreeDrain</v>
      </c>
      <c r="I119" s="127">
        <v>0.17432621292836464</v>
      </c>
      <c r="J119" s="127">
        <v>23.330640266515239</v>
      </c>
      <c r="K119" s="44" t="str">
        <f t="shared" si="3"/>
        <v>Mixed|900to1200</v>
      </c>
      <c r="L119" s="46">
        <f>AVERAGE(I120:I121,I119)</f>
        <v>0.73114426730151427</v>
      </c>
      <c r="M119" s="46">
        <f>AVERAGE(J120:J121,J119)</f>
        <v>20.577684229994578</v>
      </c>
      <c r="N119" s="127"/>
      <c r="O119" s="46"/>
      <c r="P119" s="120"/>
    </row>
    <row r="120" spans="2:16" x14ac:dyDescent="0.35">
      <c r="B120" s="130"/>
      <c r="C120" s="184" t="s">
        <v>196</v>
      </c>
      <c r="D120" s="184" t="s">
        <v>209</v>
      </c>
      <c r="E120" s="184" t="b">
        <v>1</v>
      </c>
      <c r="F120" s="184" t="s">
        <v>202</v>
      </c>
      <c r="G120" s="184" t="s">
        <v>200</v>
      </c>
      <c r="H120" s="44" t="str">
        <f t="shared" si="4"/>
        <v>Avon Hampshire|Mixed|TRUE|900to1200|DrainedAr</v>
      </c>
      <c r="I120" s="127">
        <v>0.76140399368276035</v>
      </c>
      <c r="J120" s="127">
        <v>21.31200972140401</v>
      </c>
      <c r="K120" s="44" t="str">
        <f t="shared" si="3"/>
        <v>Mixed|900to1200</v>
      </c>
      <c r="L120" s="127"/>
      <c r="M120" s="127"/>
      <c r="N120" s="127"/>
      <c r="O120" s="46"/>
      <c r="P120" s="120"/>
    </row>
    <row r="121" spans="2:16" x14ac:dyDescent="0.35">
      <c r="B121" s="130"/>
      <c r="C121" s="184" t="s">
        <v>196</v>
      </c>
      <c r="D121" s="184" t="s">
        <v>209</v>
      </c>
      <c r="E121" s="184" t="b">
        <v>0</v>
      </c>
      <c r="F121" s="184" t="s">
        <v>202</v>
      </c>
      <c r="G121" s="184" t="s">
        <v>201</v>
      </c>
      <c r="H121" s="44" t="str">
        <f t="shared" si="4"/>
        <v>Avon Hampshire|Mixed|FALSE|900to1200|DrainedArGr</v>
      </c>
      <c r="I121" s="127">
        <v>1.257702595293418</v>
      </c>
      <c r="J121" s="127">
        <v>17.090402702064477</v>
      </c>
      <c r="K121" s="44" t="str">
        <f>D121&amp;"|"&amp;F121</f>
        <v>Mixed|900to1200</v>
      </c>
      <c r="L121" s="127"/>
      <c r="M121" s="127"/>
      <c r="N121" s="127"/>
      <c r="O121" s="46"/>
      <c r="P121" s="120"/>
    </row>
    <row r="122" spans="2:16" x14ac:dyDescent="0.35">
      <c r="B122" s="130"/>
      <c r="C122" s="184" t="s">
        <v>196</v>
      </c>
      <c r="D122" s="184" t="s">
        <v>197</v>
      </c>
      <c r="E122" s="184" t="b">
        <v>0</v>
      </c>
      <c r="F122" s="184" t="s">
        <v>198</v>
      </c>
      <c r="G122" s="184" t="s">
        <v>199</v>
      </c>
      <c r="H122" s="44" t="str">
        <f>D122&amp;"|"&amp;E122&amp;"|"&amp;F122&amp;"|"&amp;G122</f>
        <v>Cereals|FALSE|700to900|FreeDrain</v>
      </c>
      <c r="I122" s="127">
        <v>0.12117136352806376</v>
      </c>
      <c r="J122" s="127">
        <v>27.786261888855599</v>
      </c>
      <c r="L122" s="28"/>
      <c r="M122" s="28"/>
      <c r="N122" s="28"/>
      <c r="O122" s="28"/>
      <c r="P122" s="120"/>
    </row>
    <row r="123" spans="2:16" x14ac:dyDescent="0.35">
      <c r="B123" s="130"/>
      <c r="C123" s="184" t="s">
        <v>196</v>
      </c>
      <c r="D123" s="184" t="s">
        <v>197</v>
      </c>
      <c r="E123" s="184" t="b">
        <v>1</v>
      </c>
      <c r="F123" s="184" t="s">
        <v>198</v>
      </c>
      <c r="G123" s="184" t="s">
        <v>199</v>
      </c>
      <c r="H123" s="44" t="str">
        <f t="shared" ref="H123:H186" si="5">D123&amp;"|"&amp;E123&amp;"|"&amp;F123&amp;"|"&amp;G123</f>
        <v>Cereals|TRUE|700to900|FreeDrain</v>
      </c>
      <c r="I123" s="127">
        <v>0.12116397632200343</v>
      </c>
      <c r="J123" s="127">
        <v>27.696522624633644</v>
      </c>
      <c r="L123" s="28"/>
      <c r="M123" s="28"/>
      <c r="N123" s="28"/>
      <c r="O123" s="28"/>
      <c r="P123" s="120"/>
    </row>
    <row r="124" spans="2:16" x14ac:dyDescent="0.35">
      <c r="B124" s="130"/>
      <c r="C124" s="184" t="s">
        <v>196</v>
      </c>
      <c r="D124" s="184" t="s">
        <v>197</v>
      </c>
      <c r="E124" s="184" t="b">
        <v>0</v>
      </c>
      <c r="F124" s="184" t="s">
        <v>198</v>
      </c>
      <c r="G124" s="184" t="s">
        <v>200</v>
      </c>
      <c r="H124" s="44" t="str">
        <f t="shared" si="5"/>
        <v>Cereals|FALSE|700to900|DrainedAr</v>
      </c>
      <c r="I124" s="127">
        <v>0.6603716901558343</v>
      </c>
      <c r="J124" s="127">
        <v>21.385632985299146</v>
      </c>
      <c r="L124" s="28"/>
      <c r="M124" s="28"/>
      <c r="N124" s="28"/>
      <c r="O124" s="28"/>
      <c r="P124" s="120"/>
    </row>
    <row r="125" spans="2:16" x14ac:dyDescent="0.35">
      <c r="B125" s="130"/>
      <c r="C125" s="184" t="s">
        <v>196</v>
      </c>
      <c r="D125" s="184" t="s">
        <v>197</v>
      </c>
      <c r="E125" s="184" t="b">
        <v>1</v>
      </c>
      <c r="F125" s="184" t="s">
        <v>198</v>
      </c>
      <c r="G125" s="184" t="s">
        <v>200</v>
      </c>
      <c r="H125" s="44" t="str">
        <f t="shared" si="5"/>
        <v>Cereals|TRUE|700to900|DrainedAr</v>
      </c>
      <c r="I125" s="127">
        <v>0.66031509413521206</v>
      </c>
      <c r="J125" s="127">
        <v>21.323784464012377</v>
      </c>
      <c r="L125" s="28"/>
      <c r="M125" s="28"/>
      <c r="N125" s="28"/>
      <c r="O125" s="28"/>
      <c r="P125" s="120"/>
    </row>
    <row r="126" spans="2:16" x14ac:dyDescent="0.35">
      <c r="B126" s="130"/>
      <c r="C126" s="184" t="s">
        <v>196</v>
      </c>
      <c r="D126" s="184" t="s">
        <v>197</v>
      </c>
      <c r="E126" s="184" t="b">
        <v>0</v>
      </c>
      <c r="F126" s="184" t="s">
        <v>198</v>
      </c>
      <c r="G126" s="184" t="s">
        <v>201</v>
      </c>
      <c r="H126" s="44" t="str">
        <f t="shared" si="5"/>
        <v>Cereals|FALSE|700to900|DrainedArGr</v>
      </c>
      <c r="I126" s="127">
        <v>0.91992208706422707</v>
      </c>
      <c r="J126" s="127">
        <v>19.915356354728427</v>
      </c>
      <c r="L126" s="28"/>
      <c r="M126" s="28"/>
      <c r="N126" s="28"/>
      <c r="O126" s="28"/>
      <c r="P126" s="120"/>
    </row>
    <row r="127" spans="2:16" x14ac:dyDescent="0.35">
      <c r="B127" s="130"/>
      <c r="C127" s="184" t="s">
        <v>196</v>
      </c>
      <c r="D127" s="184" t="s">
        <v>197</v>
      </c>
      <c r="E127" s="184" t="b">
        <v>1</v>
      </c>
      <c r="F127" s="184" t="s">
        <v>198</v>
      </c>
      <c r="G127" s="184" t="s">
        <v>201</v>
      </c>
      <c r="H127" s="44" t="str">
        <f t="shared" si="5"/>
        <v>Cereals|TRUE|700to900|DrainedArGr</v>
      </c>
      <c r="I127" s="127">
        <v>0.91979676290903711</v>
      </c>
      <c r="J127" s="127">
        <v>19.864728786822731</v>
      </c>
      <c r="L127" s="28"/>
      <c r="M127" s="28"/>
      <c r="N127" s="28"/>
      <c r="O127" s="28"/>
      <c r="P127" s="120"/>
    </row>
    <row r="128" spans="2:16" x14ac:dyDescent="0.35">
      <c r="B128" s="130"/>
      <c r="C128" s="184" t="s">
        <v>196</v>
      </c>
      <c r="D128" s="184" t="s">
        <v>197</v>
      </c>
      <c r="E128" s="184" t="b">
        <v>0</v>
      </c>
      <c r="F128" s="184" t="s">
        <v>202</v>
      </c>
      <c r="G128" s="184" t="s">
        <v>199</v>
      </c>
      <c r="H128" s="44" t="str">
        <f t="shared" si="5"/>
        <v>Cereals|FALSE|900to1200|FreeDrain</v>
      </c>
      <c r="I128" s="127">
        <v>0.21233360153397554</v>
      </c>
      <c r="J128" s="127">
        <v>29.475674827959075</v>
      </c>
      <c r="L128" s="28"/>
      <c r="M128" s="28"/>
      <c r="N128" s="28"/>
      <c r="O128" s="28"/>
      <c r="P128" s="120"/>
    </row>
    <row r="129" spans="2:16" x14ac:dyDescent="0.35">
      <c r="B129" s="130"/>
      <c r="C129" s="184" t="s">
        <v>196</v>
      </c>
      <c r="D129" s="184" t="s">
        <v>197</v>
      </c>
      <c r="E129" s="184" t="b">
        <v>1</v>
      </c>
      <c r="F129" s="184" t="s">
        <v>202</v>
      </c>
      <c r="G129" s="184" t="s">
        <v>199</v>
      </c>
      <c r="H129" s="44" t="str">
        <f t="shared" si="5"/>
        <v>Cereals|TRUE|900to1200|FreeDrain</v>
      </c>
      <c r="I129" s="127">
        <v>0.21232468486135997</v>
      </c>
      <c r="J129" s="127">
        <v>29.381455282195681</v>
      </c>
      <c r="L129" s="28"/>
      <c r="M129" s="28"/>
      <c r="N129" s="28"/>
      <c r="O129" s="28"/>
      <c r="P129" s="120"/>
    </row>
    <row r="130" spans="2:16" x14ac:dyDescent="0.35">
      <c r="B130" s="130"/>
      <c r="C130" s="184" t="s">
        <v>196</v>
      </c>
      <c r="D130" s="184" t="s">
        <v>197</v>
      </c>
      <c r="E130" s="184" t="b">
        <v>1</v>
      </c>
      <c r="F130" s="184" t="s">
        <v>202</v>
      </c>
      <c r="G130" s="184" t="s">
        <v>200</v>
      </c>
      <c r="H130" s="44" t="str">
        <f t="shared" si="5"/>
        <v>Cereals|TRUE|900to1200|DrainedAr</v>
      </c>
      <c r="I130" s="127">
        <v>1.2478305742263203</v>
      </c>
      <c r="J130" s="127">
        <v>27.167835962348384</v>
      </c>
      <c r="L130" s="28"/>
      <c r="M130" s="28"/>
      <c r="N130" s="28"/>
      <c r="O130" s="28"/>
      <c r="P130" s="120"/>
    </row>
    <row r="131" spans="2:16" x14ac:dyDescent="0.35">
      <c r="B131" s="130"/>
      <c r="C131" s="184" t="s">
        <v>196</v>
      </c>
      <c r="D131" s="184" t="s">
        <v>197</v>
      </c>
      <c r="E131" s="184" t="b">
        <v>0</v>
      </c>
      <c r="F131" s="184" t="s">
        <v>202</v>
      </c>
      <c r="G131" s="184" t="s">
        <v>201</v>
      </c>
      <c r="H131" s="44" t="str">
        <f t="shared" si="5"/>
        <v>Cereals|FALSE|900to1200|DrainedArGr</v>
      </c>
      <c r="I131" s="127">
        <v>1.5033301512865984</v>
      </c>
      <c r="J131" s="127">
        <v>22.880357479370069</v>
      </c>
      <c r="L131" s="28"/>
      <c r="M131" s="28"/>
      <c r="N131" s="28"/>
      <c r="O131" s="28"/>
      <c r="P131" s="120"/>
    </row>
    <row r="132" spans="2:16" x14ac:dyDescent="0.35">
      <c r="B132" s="130"/>
      <c r="C132" s="184" t="s">
        <v>196</v>
      </c>
      <c r="D132" s="184" t="s">
        <v>203</v>
      </c>
      <c r="E132" s="184" t="b">
        <v>0</v>
      </c>
      <c r="F132" s="184" t="s">
        <v>198</v>
      </c>
      <c r="G132" s="184" t="s">
        <v>199</v>
      </c>
      <c r="H132" s="44" t="str">
        <f t="shared" si="5"/>
        <v>General|FALSE|700to900|FreeDrain</v>
      </c>
      <c r="I132" s="127">
        <v>9.2053423444923954E-2</v>
      </c>
      <c r="J132" s="127">
        <v>18.354539796950782</v>
      </c>
      <c r="L132" s="28"/>
      <c r="M132" s="28"/>
      <c r="N132" s="28"/>
      <c r="O132" s="28"/>
      <c r="P132" s="120"/>
    </row>
    <row r="133" spans="2:16" x14ac:dyDescent="0.35">
      <c r="B133" s="130"/>
      <c r="C133" s="184" t="s">
        <v>196</v>
      </c>
      <c r="D133" s="184" t="s">
        <v>203</v>
      </c>
      <c r="E133" s="184" t="b">
        <v>1</v>
      </c>
      <c r="F133" s="184" t="s">
        <v>198</v>
      </c>
      <c r="G133" s="184" t="s">
        <v>199</v>
      </c>
      <c r="H133" s="44" t="str">
        <f t="shared" si="5"/>
        <v>General|TRUE|700to900|FreeDrain</v>
      </c>
      <c r="I133" s="127">
        <v>9.2053423444923954E-2</v>
      </c>
      <c r="J133" s="127">
        <v>18.304031184483179</v>
      </c>
      <c r="L133" s="28"/>
      <c r="M133" s="28"/>
      <c r="N133" s="28"/>
      <c r="O133" s="28"/>
      <c r="P133" s="120"/>
    </row>
    <row r="134" spans="2:16" x14ac:dyDescent="0.35">
      <c r="B134" s="130"/>
      <c r="C134" s="184" t="s">
        <v>196</v>
      </c>
      <c r="D134" s="184" t="s">
        <v>203</v>
      </c>
      <c r="E134" s="184" t="b">
        <v>0</v>
      </c>
      <c r="F134" s="184" t="s">
        <v>198</v>
      </c>
      <c r="G134" s="184" t="s">
        <v>200</v>
      </c>
      <c r="H134" s="44" t="str">
        <f t="shared" si="5"/>
        <v>General|FALSE|700to900|DrainedAr</v>
      </c>
      <c r="I134" s="127">
        <v>0.40698946682729054</v>
      </c>
      <c r="J134" s="127">
        <v>13.759576714973122</v>
      </c>
      <c r="L134" s="28"/>
      <c r="M134" s="28"/>
      <c r="N134" s="28"/>
      <c r="O134" s="28"/>
      <c r="P134" s="120"/>
    </row>
    <row r="135" spans="2:16" x14ac:dyDescent="0.35">
      <c r="B135" s="130"/>
      <c r="C135" s="184" t="s">
        <v>196</v>
      </c>
      <c r="D135" s="184" t="s">
        <v>203</v>
      </c>
      <c r="E135" s="184" t="b">
        <v>1</v>
      </c>
      <c r="F135" s="184" t="s">
        <v>198</v>
      </c>
      <c r="G135" s="184" t="s">
        <v>200</v>
      </c>
      <c r="H135" s="44" t="str">
        <f t="shared" si="5"/>
        <v>General|TRUE|700to900|DrainedAr</v>
      </c>
      <c r="I135" s="127">
        <v>0.40698946682729054</v>
      </c>
      <c r="J135" s="127">
        <v>13.726183319582262</v>
      </c>
      <c r="L135" s="28"/>
      <c r="M135" s="28"/>
      <c r="N135" s="28"/>
      <c r="O135" s="28"/>
      <c r="P135" s="120"/>
    </row>
    <row r="136" spans="2:16" x14ac:dyDescent="0.35">
      <c r="B136" s="130"/>
      <c r="C136" s="184" t="s">
        <v>196</v>
      </c>
      <c r="D136" s="184" t="s">
        <v>203</v>
      </c>
      <c r="E136" s="184" t="b">
        <v>0</v>
      </c>
      <c r="F136" s="184" t="s">
        <v>198</v>
      </c>
      <c r="G136" s="184" t="s">
        <v>201</v>
      </c>
      <c r="H136" s="44" t="str">
        <f t="shared" si="5"/>
        <v>General|FALSE|700to900|DrainedArGr</v>
      </c>
      <c r="I136" s="127">
        <v>0.67021574614079293</v>
      </c>
      <c r="J136" s="127">
        <v>12.270841605593581</v>
      </c>
      <c r="L136" s="28"/>
      <c r="M136" s="28"/>
      <c r="N136" s="28"/>
      <c r="O136" s="28"/>
      <c r="P136" s="120"/>
    </row>
    <row r="137" spans="2:16" x14ac:dyDescent="0.35">
      <c r="B137" s="130"/>
      <c r="C137" s="184" t="s">
        <v>196</v>
      </c>
      <c r="D137" s="184" t="s">
        <v>203</v>
      </c>
      <c r="E137" s="184" t="b">
        <v>1</v>
      </c>
      <c r="F137" s="184" t="s">
        <v>198</v>
      </c>
      <c r="G137" s="184" t="s">
        <v>201</v>
      </c>
      <c r="H137" s="44" t="str">
        <f t="shared" si="5"/>
        <v>General|TRUE|700to900|DrainedArGr</v>
      </c>
      <c r="I137" s="127">
        <v>0.67021574614079293</v>
      </c>
      <c r="J137" s="127">
        <v>12.244259474484341</v>
      </c>
      <c r="L137" s="28"/>
      <c r="M137" s="28"/>
      <c r="N137" s="28"/>
      <c r="O137" s="28"/>
      <c r="P137" s="120"/>
    </row>
    <row r="138" spans="2:16" x14ac:dyDescent="0.35">
      <c r="B138" s="130"/>
      <c r="C138" s="184" t="s">
        <v>196</v>
      </c>
      <c r="D138" s="184" t="s">
        <v>203</v>
      </c>
      <c r="E138" s="184" t="b">
        <v>0</v>
      </c>
      <c r="F138" s="184" t="s">
        <v>202</v>
      </c>
      <c r="G138" s="184" t="s">
        <v>199</v>
      </c>
      <c r="H138" s="44" t="str">
        <f t="shared" si="5"/>
        <v>General|FALSE|900to1200|FreeDrain</v>
      </c>
      <c r="I138" s="127">
        <v>0.16357996559406257</v>
      </c>
      <c r="J138" s="127">
        <v>19.49867403049381</v>
      </c>
      <c r="L138" s="28"/>
      <c r="M138" s="28"/>
      <c r="N138" s="28"/>
      <c r="O138" s="28"/>
      <c r="P138" s="120"/>
    </row>
    <row r="139" spans="2:16" x14ac:dyDescent="0.35">
      <c r="B139" s="130"/>
      <c r="C139" s="184" t="s">
        <v>196</v>
      </c>
      <c r="D139" s="184" t="s">
        <v>203</v>
      </c>
      <c r="E139" s="184" t="b">
        <v>1</v>
      </c>
      <c r="F139" s="184" t="s">
        <v>202</v>
      </c>
      <c r="G139" s="184" t="s">
        <v>199</v>
      </c>
      <c r="H139" s="44" t="str">
        <f t="shared" si="5"/>
        <v>General|TRUE|900to1200|FreeDrain</v>
      </c>
      <c r="I139" s="127">
        <v>0.16357996559406257</v>
      </c>
      <c r="J139" s="127">
        <v>19.445610383584793</v>
      </c>
      <c r="L139" s="28"/>
      <c r="M139" s="28"/>
      <c r="N139" s="28"/>
      <c r="O139" s="28"/>
      <c r="P139" s="120"/>
    </row>
    <row r="140" spans="2:16" x14ac:dyDescent="0.35">
      <c r="B140" s="130"/>
      <c r="C140" s="184" t="s">
        <v>196</v>
      </c>
      <c r="D140" s="184" t="s">
        <v>203</v>
      </c>
      <c r="E140" s="184" t="b">
        <v>1</v>
      </c>
      <c r="F140" s="184" t="s">
        <v>202</v>
      </c>
      <c r="G140" s="184" t="s">
        <v>200</v>
      </c>
      <c r="H140" s="44" t="str">
        <f t="shared" si="5"/>
        <v>General|TRUE|900to1200|DrainedAr</v>
      </c>
      <c r="I140" s="127">
        <v>0.7772305322632107</v>
      </c>
      <c r="J140" s="127">
        <v>17.377735931299011</v>
      </c>
      <c r="L140" s="28"/>
      <c r="M140" s="28"/>
      <c r="N140" s="28"/>
      <c r="O140" s="28"/>
      <c r="P140" s="120"/>
    </row>
    <row r="141" spans="2:16" x14ac:dyDescent="0.35">
      <c r="B141" s="130"/>
      <c r="C141" s="184" t="s">
        <v>196</v>
      </c>
      <c r="D141" s="184" t="s">
        <v>203</v>
      </c>
      <c r="E141" s="184" t="b">
        <v>0</v>
      </c>
      <c r="F141" s="184" t="s">
        <v>202</v>
      </c>
      <c r="G141" s="184" t="s">
        <v>201</v>
      </c>
      <c r="H141" s="44" t="str">
        <f t="shared" si="5"/>
        <v>General|FALSE|900to1200|DrainedArGr</v>
      </c>
      <c r="I141" s="127">
        <v>1.1390168214683927</v>
      </c>
      <c r="J141" s="127">
        <v>14.240897788120545</v>
      </c>
      <c r="L141" s="28"/>
      <c r="M141" s="28"/>
      <c r="N141" s="28"/>
      <c r="O141" s="28"/>
      <c r="P141" s="120"/>
    </row>
    <row r="142" spans="2:16" x14ac:dyDescent="0.35">
      <c r="B142" s="130"/>
      <c r="C142" s="184" t="s">
        <v>196</v>
      </c>
      <c r="D142" s="184" t="s">
        <v>203</v>
      </c>
      <c r="E142" s="184" t="b">
        <v>1</v>
      </c>
      <c r="F142" s="184" t="s">
        <v>202</v>
      </c>
      <c r="G142" s="184" t="s">
        <v>201</v>
      </c>
      <c r="H142" s="44" t="str">
        <f t="shared" si="5"/>
        <v>General|TRUE|900to1200|DrainedArGr</v>
      </c>
      <c r="I142" s="127">
        <v>1.1390168214683927</v>
      </c>
      <c r="J142" s="127">
        <v>14.214175332665846</v>
      </c>
      <c r="L142" s="28"/>
      <c r="M142" s="28"/>
      <c r="N142" s="28"/>
      <c r="O142" s="28"/>
      <c r="P142" s="120"/>
    </row>
    <row r="143" spans="2:16" x14ac:dyDescent="0.35">
      <c r="B143" s="130"/>
      <c r="C143" s="184" t="s">
        <v>196</v>
      </c>
      <c r="D143" s="184" t="s">
        <v>204</v>
      </c>
      <c r="E143" s="184" t="b">
        <v>0</v>
      </c>
      <c r="F143" s="184" t="s">
        <v>198</v>
      </c>
      <c r="G143" s="184" t="s">
        <v>199</v>
      </c>
      <c r="H143" s="44" t="str">
        <f t="shared" si="5"/>
        <v>Horticulture|FALSE|700to900|FreeDrain</v>
      </c>
      <c r="I143" s="127">
        <v>0.10381541474441461</v>
      </c>
      <c r="J143" s="127">
        <v>21.405967593244974</v>
      </c>
      <c r="L143" s="28"/>
      <c r="M143" s="28"/>
      <c r="N143" s="28"/>
      <c r="O143" s="28"/>
      <c r="P143" s="120"/>
    </row>
    <row r="144" spans="2:16" x14ac:dyDescent="0.35">
      <c r="B144" s="130"/>
      <c r="C144" s="184" t="s">
        <v>196</v>
      </c>
      <c r="D144" s="184" t="s">
        <v>204</v>
      </c>
      <c r="E144" s="184" t="b">
        <v>1</v>
      </c>
      <c r="F144" s="184" t="s">
        <v>198</v>
      </c>
      <c r="G144" s="184" t="s">
        <v>199</v>
      </c>
      <c r="H144" s="44" t="str">
        <f t="shared" si="5"/>
        <v>Horticulture|TRUE|700to900|FreeDrain</v>
      </c>
      <c r="I144" s="127">
        <v>0.10381541474441461</v>
      </c>
      <c r="J144" s="127">
        <v>21.343472868562134</v>
      </c>
      <c r="L144" s="28"/>
      <c r="M144" s="28"/>
      <c r="N144" s="28"/>
      <c r="O144" s="28"/>
      <c r="P144" s="120"/>
    </row>
    <row r="145" spans="2:16" x14ac:dyDescent="0.35">
      <c r="B145" s="130"/>
      <c r="C145" s="184" t="s">
        <v>196</v>
      </c>
      <c r="D145" s="184" t="s">
        <v>204</v>
      </c>
      <c r="E145" s="184" t="b">
        <v>0</v>
      </c>
      <c r="F145" s="184" t="s">
        <v>198</v>
      </c>
      <c r="G145" s="184" t="s">
        <v>200</v>
      </c>
      <c r="H145" s="44" t="str">
        <f t="shared" si="5"/>
        <v>Horticulture|FALSE|700to900|DrainedAr</v>
      </c>
      <c r="I145" s="127">
        <v>0.53052498570609496</v>
      </c>
      <c r="J145" s="127">
        <v>15.687486055884841</v>
      </c>
      <c r="L145" s="28"/>
      <c r="M145" s="28"/>
      <c r="N145" s="28"/>
      <c r="O145" s="28"/>
      <c r="P145" s="120"/>
    </row>
    <row r="146" spans="2:16" x14ac:dyDescent="0.35">
      <c r="B146" s="130"/>
      <c r="C146" s="184" t="s">
        <v>196</v>
      </c>
      <c r="D146" s="184" t="s">
        <v>204</v>
      </c>
      <c r="E146" s="184" t="b">
        <v>1</v>
      </c>
      <c r="F146" s="184" t="s">
        <v>198</v>
      </c>
      <c r="G146" s="184" t="s">
        <v>200</v>
      </c>
      <c r="H146" s="44" t="str">
        <f t="shared" si="5"/>
        <v>Horticulture|TRUE|700to900|DrainedAr</v>
      </c>
      <c r="I146" s="127">
        <v>0.53052498570609496</v>
      </c>
      <c r="J146" s="127">
        <v>15.646147060308071</v>
      </c>
      <c r="L146" s="28"/>
      <c r="M146" s="28"/>
      <c r="N146" s="28"/>
      <c r="O146" s="28"/>
      <c r="P146" s="120"/>
    </row>
    <row r="147" spans="2:16" x14ac:dyDescent="0.35">
      <c r="B147" s="130"/>
      <c r="C147" s="184" t="s">
        <v>196</v>
      </c>
      <c r="D147" s="184" t="s">
        <v>204</v>
      </c>
      <c r="E147" s="184" t="b">
        <v>0</v>
      </c>
      <c r="F147" s="184" t="s">
        <v>198</v>
      </c>
      <c r="G147" s="184" t="s">
        <v>201</v>
      </c>
      <c r="H147" s="44" t="str">
        <f t="shared" si="5"/>
        <v>Horticulture|FALSE|700to900|DrainedArGr</v>
      </c>
      <c r="I147" s="127">
        <v>0.79806164877258179</v>
      </c>
      <c r="J147" s="127">
        <v>13.88344046357324</v>
      </c>
      <c r="L147" s="28"/>
      <c r="M147" s="28"/>
      <c r="N147" s="28"/>
      <c r="O147" s="28"/>
      <c r="P147" s="120"/>
    </row>
    <row r="148" spans="2:16" x14ac:dyDescent="0.35">
      <c r="B148" s="130"/>
      <c r="C148" s="184" t="s">
        <v>196</v>
      </c>
      <c r="D148" s="184" t="s">
        <v>204</v>
      </c>
      <c r="E148" s="184" t="b">
        <v>1</v>
      </c>
      <c r="F148" s="184" t="s">
        <v>202</v>
      </c>
      <c r="G148" s="184" t="s">
        <v>199</v>
      </c>
      <c r="H148" s="44" t="str">
        <f t="shared" si="5"/>
        <v>Horticulture|TRUE|900to1200|FreeDrain</v>
      </c>
      <c r="I148" s="127">
        <v>0.18639059550864001</v>
      </c>
      <c r="J148" s="127">
        <v>22.702882212486752</v>
      </c>
      <c r="L148" s="28"/>
      <c r="M148" s="28"/>
      <c r="N148" s="28"/>
      <c r="O148" s="28"/>
      <c r="P148" s="120"/>
    </row>
    <row r="149" spans="2:16" x14ac:dyDescent="0.35">
      <c r="B149" s="130"/>
      <c r="C149" s="184" t="s">
        <v>196</v>
      </c>
      <c r="D149" s="184" t="s">
        <v>205</v>
      </c>
      <c r="E149" s="184" t="b">
        <v>0</v>
      </c>
      <c r="F149" s="184" t="s">
        <v>198</v>
      </c>
      <c r="G149" s="184" t="s">
        <v>199</v>
      </c>
      <c r="H149" s="44" t="str">
        <f t="shared" si="5"/>
        <v>Pig|FALSE|700to900|FreeDrain</v>
      </c>
      <c r="I149" s="127">
        <v>0.12706979365288279</v>
      </c>
      <c r="J149" s="127">
        <v>74.628107459408938</v>
      </c>
      <c r="L149" s="28"/>
      <c r="M149" s="28"/>
      <c r="N149" s="28"/>
      <c r="O149" s="28"/>
      <c r="P149" s="120"/>
    </row>
    <row r="150" spans="2:16" x14ac:dyDescent="0.35">
      <c r="B150" s="130"/>
      <c r="C150" s="184" t="s">
        <v>196</v>
      </c>
      <c r="D150" s="184" t="s">
        <v>205</v>
      </c>
      <c r="E150" s="184" t="b">
        <v>1</v>
      </c>
      <c r="F150" s="184" t="s">
        <v>198</v>
      </c>
      <c r="G150" s="184" t="s">
        <v>199</v>
      </c>
      <c r="H150" s="44" t="str">
        <f t="shared" si="5"/>
        <v>Pig|TRUE|700to900|FreeDrain</v>
      </c>
      <c r="I150" s="127">
        <v>0.12417447693185898</v>
      </c>
      <c r="J150" s="127">
        <v>74.643187077029665</v>
      </c>
      <c r="L150" s="28"/>
      <c r="M150" s="28"/>
      <c r="N150" s="28"/>
      <c r="O150" s="28"/>
      <c r="P150" s="120"/>
    </row>
    <row r="151" spans="2:16" x14ac:dyDescent="0.35">
      <c r="B151" s="130"/>
      <c r="C151" s="184" t="s">
        <v>196</v>
      </c>
      <c r="D151" s="184" t="s">
        <v>205</v>
      </c>
      <c r="E151" s="184" t="b">
        <v>0</v>
      </c>
      <c r="F151" s="184" t="s">
        <v>198</v>
      </c>
      <c r="G151" s="184" t="s">
        <v>200</v>
      </c>
      <c r="H151" s="44" t="str">
        <f t="shared" si="5"/>
        <v>Pig|FALSE|700to900|DrainedAr</v>
      </c>
      <c r="I151" s="127">
        <v>0.58874843832541524</v>
      </c>
      <c r="J151" s="127">
        <v>52.652981394846847</v>
      </c>
      <c r="L151" s="28"/>
      <c r="M151" s="28"/>
      <c r="N151" s="28"/>
      <c r="O151" s="28"/>
      <c r="P151" s="120"/>
    </row>
    <row r="152" spans="2:16" x14ac:dyDescent="0.35">
      <c r="B152" s="130"/>
      <c r="C152" s="184" t="s">
        <v>196</v>
      </c>
      <c r="D152" s="184" t="s">
        <v>205</v>
      </c>
      <c r="E152" s="184" t="b">
        <v>0</v>
      </c>
      <c r="F152" s="184" t="s">
        <v>202</v>
      </c>
      <c r="G152" s="184" t="s">
        <v>199</v>
      </c>
      <c r="H152" s="44" t="str">
        <f t="shared" si="5"/>
        <v>Pig|FALSE|900to1200|FreeDrain</v>
      </c>
      <c r="I152" s="127">
        <v>0.21315145913366179</v>
      </c>
      <c r="J152" s="127">
        <v>78.784847191691824</v>
      </c>
      <c r="L152" s="28"/>
      <c r="M152" s="28"/>
      <c r="N152" s="28"/>
      <c r="O152" s="28"/>
      <c r="P152" s="120"/>
    </row>
    <row r="153" spans="2:16" x14ac:dyDescent="0.35">
      <c r="B153" s="130"/>
      <c r="C153" s="184" t="s">
        <v>196</v>
      </c>
      <c r="D153" s="184" t="s">
        <v>205</v>
      </c>
      <c r="E153" s="184" t="b">
        <v>1</v>
      </c>
      <c r="F153" s="184" t="s">
        <v>202</v>
      </c>
      <c r="G153" s="184" t="s">
        <v>199</v>
      </c>
      <c r="H153" s="44" t="str">
        <f t="shared" si="5"/>
        <v>Pig|TRUE|900to1200|FreeDrain</v>
      </c>
      <c r="I153" s="127">
        <v>0.20973912898443559</v>
      </c>
      <c r="J153" s="127">
        <v>78.841766429691546</v>
      </c>
      <c r="L153" s="28"/>
      <c r="M153" s="28"/>
      <c r="N153" s="28"/>
      <c r="O153" s="28"/>
      <c r="P153" s="120"/>
    </row>
    <row r="154" spans="2:16" x14ac:dyDescent="0.35">
      <c r="B154" s="130"/>
      <c r="C154" s="184" t="s">
        <v>196</v>
      </c>
      <c r="D154" s="184" t="s">
        <v>206</v>
      </c>
      <c r="E154" s="184" t="b">
        <v>0</v>
      </c>
      <c r="F154" s="184" t="s">
        <v>198</v>
      </c>
      <c r="G154" s="184" t="s">
        <v>199</v>
      </c>
      <c r="H154" s="44" t="str">
        <f t="shared" si="5"/>
        <v>Poultry|FALSE|700to900|FreeDrain</v>
      </c>
      <c r="I154" s="127">
        <v>0.13649756701599286</v>
      </c>
      <c r="J154" s="127">
        <v>121.48862412939144</v>
      </c>
      <c r="L154" s="28"/>
      <c r="M154" s="28"/>
      <c r="N154" s="28"/>
      <c r="O154" s="28"/>
      <c r="P154" s="120"/>
    </row>
    <row r="155" spans="2:16" x14ac:dyDescent="0.35">
      <c r="B155" s="130"/>
      <c r="C155" s="184" t="s">
        <v>196</v>
      </c>
      <c r="D155" s="184" t="s">
        <v>206</v>
      </c>
      <c r="E155" s="184" t="b">
        <v>1</v>
      </c>
      <c r="F155" s="184" t="s">
        <v>198</v>
      </c>
      <c r="G155" s="184" t="s">
        <v>199</v>
      </c>
      <c r="H155" s="44" t="str">
        <f t="shared" si="5"/>
        <v>Poultry|TRUE|700to900|FreeDrain</v>
      </c>
      <c r="I155" s="127">
        <v>0.13359309386990814</v>
      </c>
      <c r="J155" s="127">
        <v>121.93282973552741</v>
      </c>
      <c r="L155" s="28"/>
      <c r="M155" s="28"/>
      <c r="N155" s="28"/>
      <c r="O155" s="28"/>
      <c r="P155" s="120"/>
    </row>
    <row r="156" spans="2:16" x14ac:dyDescent="0.35">
      <c r="B156" s="130"/>
      <c r="C156" s="184" t="s">
        <v>196</v>
      </c>
      <c r="D156" s="184" t="s">
        <v>206</v>
      </c>
      <c r="E156" s="184" t="b">
        <v>0</v>
      </c>
      <c r="F156" s="184" t="s">
        <v>198</v>
      </c>
      <c r="G156" s="184" t="s">
        <v>200</v>
      </c>
      <c r="H156" s="44" t="str">
        <f t="shared" si="5"/>
        <v>Poultry|FALSE|700to900|DrainedAr</v>
      </c>
      <c r="I156" s="127">
        <v>0.42812224917930619</v>
      </c>
      <c r="J156" s="127">
        <v>84.016731006509929</v>
      </c>
      <c r="L156" s="28"/>
      <c r="M156" s="28"/>
      <c r="N156" s="28"/>
      <c r="O156" s="28"/>
      <c r="P156" s="120"/>
    </row>
    <row r="157" spans="2:16" x14ac:dyDescent="0.35">
      <c r="B157" s="130"/>
      <c r="C157" s="184" t="s">
        <v>196</v>
      </c>
      <c r="D157" s="184" t="s">
        <v>206</v>
      </c>
      <c r="E157" s="184" t="b">
        <v>1</v>
      </c>
      <c r="F157" s="184" t="s">
        <v>198</v>
      </c>
      <c r="G157" s="184" t="s">
        <v>200</v>
      </c>
      <c r="H157" s="44" t="str">
        <f t="shared" si="5"/>
        <v>Poultry|TRUE|700to900|DrainedAr</v>
      </c>
      <c r="I157" s="127">
        <v>0.40893411967621263</v>
      </c>
      <c r="J157" s="127">
        <v>80.919785489545859</v>
      </c>
      <c r="L157" s="28"/>
      <c r="M157" s="28"/>
      <c r="N157" s="28"/>
      <c r="O157" s="28"/>
      <c r="P157" s="120"/>
    </row>
    <row r="158" spans="2:16" x14ac:dyDescent="0.35">
      <c r="B158" s="130"/>
      <c r="C158" s="184" t="s">
        <v>196</v>
      </c>
      <c r="D158" s="184" t="s">
        <v>206</v>
      </c>
      <c r="E158" s="184" t="b">
        <v>1</v>
      </c>
      <c r="F158" s="184" t="s">
        <v>198</v>
      </c>
      <c r="G158" s="184" t="s">
        <v>201</v>
      </c>
      <c r="H158" s="44" t="str">
        <f t="shared" si="5"/>
        <v>Poultry|TRUE|700to900|DrainedArGr</v>
      </c>
      <c r="I158" s="127">
        <v>0.85055298734773388</v>
      </c>
      <c r="J158" s="127">
        <v>62.482205163468677</v>
      </c>
      <c r="L158" s="28"/>
      <c r="M158" s="28"/>
      <c r="N158" s="28"/>
      <c r="O158" s="28"/>
      <c r="P158" s="120"/>
    </row>
    <row r="159" spans="2:16" x14ac:dyDescent="0.35">
      <c r="B159" s="130"/>
      <c r="C159" s="184" t="s">
        <v>196</v>
      </c>
      <c r="D159" s="184" t="s">
        <v>206</v>
      </c>
      <c r="E159" s="184" t="b">
        <v>1</v>
      </c>
      <c r="F159" s="184" t="s">
        <v>202</v>
      </c>
      <c r="G159" s="184" t="s">
        <v>199</v>
      </c>
      <c r="H159" s="44" t="str">
        <f t="shared" si="5"/>
        <v>Poultry|TRUE|900to1200|FreeDrain</v>
      </c>
      <c r="I159" s="127">
        <v>0.21127499655818746</v>
      </c>
      <c r="J159" s="127">
        <v>127.68962390826447</v>
      </c>
      <c r="L159" s="28"/>
      <c r="M159" s="28"/>
      <c r="N159" s="28"/>
      <c r="O159" s="28"/>
      <c r="P159" s="120"/>
    </row>
    <row r="160" spans="2:16" x14ac:dyDescent="0.35">
      <c r="B160" s="130"/>
      <c r="C160" s="184" t="s">
        <v>196</v>
      </c>
      <c r="D160" s="184" t="s">
        <v>206</v>
      </c>
      <c r="E160" s="184" t="b">
        <v>1</v>
      </c>
      <c r="F160" s="184" t="s">
        <v>202</v>
      </c>
      <c r="G160" s="184" t="s">
        <v>201</v>
      </c>
      <c r="H160" s="44" t="str">
        <f t="shared" si="5"/>
        <v>Poultry|TRUE|900to1200|DrainedArGr</v>
      </c>
      <c r="I160" s="127">
        <v>1.3798627116009607</v>
      </c>
      <c r="J160" s="127">
        <v>67.820818243835532</v>
      </c>
      <c r="L160" s="28"/>
      <c r="M160" s="28"/>
      <c r="N160" s="28"/>
      <c r="O160" s="28"/>
      <c r="P160" s="120"/>
    </row>
    <row r="161" spans="2:16" x14ac:dyDescent="0.35">
      <c r="B161" s="130"/>
      <c r="C161" s="184" t="s">
        <v>196</v>
      </c>
      <c r="D161" s="184" t="s">
        <v>207</v>
      </c>
      <c r="E161" s="184" t="b">
        <v>0</v>
      </c>
      <c r="F161" s="184" t="s">
        <v>198</v>
      </c>
      <c r="G161" s="184" t="s">
        <v>199</v>
      </c>
      <c r="H161" s="44" t="str">
        <f t="shared" si="5"/>
        <v>Dairy|FALSE|700to900|FreeDrain</v>
      </c>
      <c r="I161" s="127">
        <v>0.11382337645460913</v>
      </c>
      <c r="J161" s="127">
        <v>30.555361071701139</v>
      </c>
      <c r="L161" s="28"/>
      <c r="M161" s="28"/>
      <c r="N161" s="28"/>
      <c r="O161" s="28"/>
      <c r="P161" s="120"/>
    </row>
    <row r="162" spans="2:16" x14ac:dyDescent="0.35">
      <c r="B162" s="130"/>
      <c r="C162" s="184" t="s">
        <v>196</v>
      </c>
      <c r="D162" s="184" t="s">
        <v>207</v>
      </c>
      <c r="E162" s="184" t="b">
        <v>1</v>
      </c>
      <c r="F162" s="184" t="s">
        <v>198</v>
      </c>
      <c r="G162" s="184" t="s">
        <v>199</v>
      </c>
      <c r="H162" s="44" t="str">
        <f t="shared" si="5"/>
        <v>Dairy|TRUE|700to900|FreeDrain</v>
      </c>
      <c r="I162" s="127">
        <v>0.11294762841141033</v>
      </c>
      <c r="J162" s="127">
        <v>30.277556723782993</v>
      </c>
      <c r="L162" s="28"/>
      <c r="M162" s="28"/>
      <c r="N162" s="28"/>
      <c r="O162" s="28"/>
      <c r="P162" s="120"/>
    </row>
    <row r="163" spans="2:16" x14ac:dyDescent="0.35">
      <c r="B163" s="130"/>
      <c r="C163" s="184" t="s">
        <v>196</v>
      </c>
      <c r="D163" s="184" t="s">
        <v>207</v>
      </c>
      <c r="E163" s="184" t="b">
        <v>0</v>
      </c>
      <c r="F163" s="184" t="s">
        <v>198</v>
      </c>
      <c r="G163" s="184" t="s">
        <v>200</v>
      </c>
      <c r="H163" s="44" t="str">
        <f t="shared" si="5"/>
        <v>Dairy|FALSE|700to900|DrainedAr</v>
      </c>
      <c r="I163" s="127">
        <v>0.26056828187129821</v>
      </c>
      <c r="J163" s="127">
        <v>23.649604924171165</v>
      </c>
      <c r="L163" s="28"/>
      <c r="M163" s="28"/>
      <c r="N163" s="28"/>
      <c r="O163" s="28"/>
      <c r="P163" s="120"/>
    </row>
    <row r="164" spans="2:16" x14ac:dyDescent="0.35">
      <c r="B164" s="130"/>
      <c r="C164" s="184" t="s">
        <v>196</v>
      </c>
      <c r="D164" s="184" t="s">
        <v>207</v>
      </c>
      <c r="E164" s="184" t="b">
        <v>1</v>
      </c>
      <c r="F164" s="184" t="s">
        <v>198</v>
      </c>
      <c r="G164" s="184" t="s">
        <v>200</v>
      </c>
      <c r="H164" s="44" t="str">
        <f t="shared" si="5"/>
        <v>Dairy|TRUE|700to900|DrainedAr</v>
      </c>
      <c r="I164" s="127">
        <v>0.25932401325696269</v>
      </c>
      <c r="J164" s="127">
        <v>23.42234562619786</v>
      </c>
      <c r="L164" s="28"/>
      <c r="M164" s="28"/>
      <c r="N164" s="28"/>
      <c r="O164" s="28"/>
      <c r="P164" s="120"/>
    </row>
    <row r="165" spans="2:16" x14ac:dyDescent="0.35">
      <c r="B165" s="130"/>
      <c r="C165" s="184" t="s">
        <v>196</v>
      </c>
      <c r="D165" s="184" t="s">
        <v>207</v>
      </c>
      <c r="E165" s="184" t="b">
        <v>0</v>
      </c>
      <c r="F165" s="184" t="s">
        <v>198</v>
      </c>
      <c r="G165" s="184" t="s">
        <v>201</v>
      </c>
      <c r="H165" s="44" t="str">
        <f t="shared" si="5"/>
        <v>Dairy|FALSE|700to900|DrainedArGr</v>
      </c>
      <c r="I165" s="127">
        <v>0.91251614468072195</v>
      </c>
      <c r="J165" s="127">
        <v>14.97893724055068</v>
      </c>
      <c r="L165" s="28"/>
      <c r="M165" s="28"/>
      <c r="N165" s="28"/>
      <c r="O165" s="28"/>
      <c r="P165" s="120"/>
    </row>
    <row r="166" spans="2:16" x14ac:dyDescent="0.35">
      <c r="B166" s="130"/>
      <c r="C166" s="184" t="s">
        <v>196</v>
      </c>
      <c r="D166" s="184" t="s">
        <v>207</v>
      </c>
      <c r="E166" s="184" t="b">
        <v>0</v>
      </c>
      <c r="F166" s="184" t="s">
        <v>202</v>
      </c>
      <c r="G166" s="184" t="s">
        <v>199</v>
      </c>
      <c r="H166" s="44" t="str">
        <f t="shared" si="5"/>
        <v>Dairy|FALSE|900to1200|FreeDrain</v>
      </c>
      <c r="I166" s="127">
        <v>0.17498443830247701</v>
      </c>
      <c r="J166" s="127">
        <v>32.266391341767488</v>
      </c>
      <c r="L166" s="28"/>
      <c r="M166" s="28"/>
      <c r="N166" s="28"/>
      <c r="O166" s="28"/>
      <c r="P166" s="120"/>
    </row>
    <row r="167" spans="2:16" x14ac:dyDescent="0.35">
      <c r="B167" s="130"/>
      <c r="C167" s="184" t="s">
        <v>196</v>
      </c>
      <c r="D167" s="184" t="s">
        <v>207</v>
      </c>
      <c r="E167" s="184" t="b">
        <v>1</v>
      </c>
      <c r="F167" s="184" t="s">
        <v>202</v>
      </c>
      <c r="G167" s="184" t="s">
        <v>199</v>
      </c>
      <c r="H167" s="44" t="str">
        <f t="shared" si="5"/>
        <v>Dairy|TRUE|900to1200|FreeDrain</v>
      </c>
      <c r="I167" s="127">
        <v>0.17386830104797507</v>
      </c>
      <c r="J167" s="127">
        <v>31.974672899660355</v>
      </c>
      <c r="L167" s="28"/>
      <c r="M167" s="28"/>
      <c r="N167" s="28"/>
      <c r="O167" s="28"/>
      <c r="P167" s="120"/>
    </row>
    <row r="168" spans="2:16" x14ac:dyDescent="0.35">
      <c r="B168" s="130"/>
      <c r="C168" s="184" t="s">
        <v>196</v>
      </c>
      <c r="D168" s="184" t="s">
        <v>207</v>
      </c>
      <c r="E168" s="184" t="b">
        <v>0</v>
      </c>
      <c r="F168" s="184" t="s">
        <v>202</v>
      </c>
      <c r="G168" s="184" t="s">
        <v>201</v>
      </c>
      <c r="H168" s="44" t="str">
        <f t="shared" si="5"/>
        <v>Dairy|FALSE|900to1200|DrainedArGr</v>
      </c>
      <c r="I168" s="127">
        <v>1.4662625019801638</v>
      </c>
      <c r="J168" s="127">
        <v>19.59200233677473</v>
      </c>
      <c r="L168" s="28"/>
      <c r="M168" s="28"/>
      <c r="N168" s="28"/>
      <c r="O168" s="28"/>
      <c r="P168" s="120"/>
    </row>
    <row r="169" spans="2:16" x14ac:dyDescent="0.35">
      <c r="B169" s="130"/>
      <c r="C169" s="184" t="s">
        <v>196</v>
      </c>
      <c r="D169" s="184" t="s">
        <v>208</v>
      </c>
      <c r="E169" s="184" t="b">
        <v>0</v>
      </c>
      <c r="F169" s="184" t="s">
        <v>198</v>
      </c>
      <c r="G169" s="184" t="s">
        <v>199</v>
      </c>
      <c r="H169" s="44" t="str">
        <f t="shared" si="5"/>
        <v>Lowland|FALSE|700to900|FreeDrain</v>
      </c>
      <c r="I169" s="127">
        <v>7.1851847662839224E-2</v>
      </c>
      <c r="J169" s="127">
        <v>11.043023165414256</v>
      </c>
      <c r="L169" s="28"/>
      <c r="M169" s="28"/>
      <c r="N169" s="28"/>
      <c r="O169" s="28"/>
      <c r="P169" s="120"/>
    </row>
    <row r="170" spans="2:16" x14ac:dyDescent="0.35">
      <c r="B170" s="130"/>
      <c r="C170" s="184" t="s">
        <v>196</v>
      </c>
      <c r="D170" s="184" t="s">
        <v>208</v>
      </c>
      <c r="E170" s="184" t="b">
        <v>1</v>
      </c>
      <c r="F170" s="184" t="s">
        <v>198</v>
      </c>
      <c r="G170" s="184" t="s">
        <v>199</v>
      </c>
      <c r="H170" s="44" t="str">
        <f t="shared" si="5"/>
        <v>Lowland|TRUE|700to900|FreeDrain</v>
      </c>
      <c r="I170" s="127">
        <v>7.1851689688715817E-2</v>
      </c>
      <c r="J170" s="127">
        <v>10.976350059039731</v>
      </c>
      <c r="L170" s="28"/>
      <c r="M170" s="28"/>
      <c r="N170" s="28"/>
      <c r="O170" s="28"/>
      <c r="P170" s="120"/>
    </row>
    <row r="171" spans="2:16" x14ac:dyDescent="0.35">
      <c r="B171" s="130"/>
      <c r="C171" s="184" t="s">
        <v>196</v>
      </c>
      <c r="D171" s="184" t="s">
        <v>208</v>
      </c>
      <c r="E171" s="184" t="b">
        <v>0</v>
      </c>
      <c r="F171" s="184" t="s">
        <v>198</v>
      </c>
      <c r="G171" s="184" t="s">
        <v>200</v>
      </c>
      <c r="H171" s="44" t="str">
        <f t="shared" si="5"/>
        <v>Lowland|FALSE|700to900|DrainedAr</v>
      </c>
      <c r="I171" s="127">
        <v>0.12127379687182142</v>
      </c>
      <c r="J171" s="127">
        <v>8.7803309195463051</v>
      </c>
      <c r="L171" s="28"/>
      <c r="M171" s="28"/>
      <c r="N171" s="28"/>
      <c r="O171" s="28"/>
      <c r="P171" s="120"/>
    </row>
    <row r="172" spans="2:16" x14ac:dyDescent="0.35">
      <c r="B172" s="130"/>
      <c r="C172" s="184" t="s">
        <v>196</v>
      </c>
      <c r="D172" s="184" t="s">
        <v>208</v>
      </c>
      <c r="E172" s="184" t="b">
        <v>1</v>
      </c>
      <c r="F172" s="184" t="s">
        <v>198</v>
      </c>
      <c r="G172" s="184" t="s">
        <v>200</v>
      </c>
      <c r="H172" s="44" t="str">
        <f t="shared" si="5"/>
        <v>Lowland|TRUE|700to900|DrainedAr</v>
      </c>
      <c r="I172" s="127">
        <v>0.12127360087760185</v>
      </c>
      <c r="J172" s="127">
        <v>8.7292576009070881</v>
      </c>
      <c r="L172" s="28"/>
      <c r="M172" s="28"/>
      <c r="N172" s="28"/>
      <c r="O172" s="28"/>
      <c r="P172" s="120"/>
    </row>
    <row r="173" spans="2:16" x14ac:dyDescent="0.35">
      <c r="B173" s="130"/>
      <c r="C173" s="184" t="s">
        <v>196</v>
      </c>
      <c r="D173" s="184" t="s">
        <v>208</v>
      </c>
      <c r="E173" s="184" t="b">
        <v>0</v>
      </c>
      <c r="F173" s="184" t="s">
        <v>198</v>
      </c>
      <c r="G173" s="184" t="s">
        <v>201</v>
      </c>
      <c r="H173" s="44" t="str">
        <f t="shared" si="5"/>
        <v>Lowland|FALSE|700to900|DrainedArGr</v>
      </c>
      <c r="I173" s="127">
        <v>0.47507333313192507</v>
      </c>
      <c r="J173" s="127">
        <v>6.2503530922703314</v>
      </c>
      <c r="L173" s="28"/>
      <c r="M173" s="28"/>
      <c r="N173" s="28"/>
      <c r="O173" s="28"/>
      <c r="P173" s="120"/>
    </row>
    <row r="174" spans="2:16" x14ac:dyDescent="0.35">
      <c r="B174" s="130"/>
      <c r="C174" s="184" t="s">
        <v>196</v>
      </c>
      <c r="D174" s="184" t="s">
        <v>208</v>
      </c>
      <c r="E174" s="184" t="b">
        <v>1</v>
      </c>
      <c r="F174" s="184" t="s">
        <v>198</v>
      </c>
      <c r="G174" s="184" t="s">
        <v>201</v>
      </c>
      <c r="H174" s="44" t="str">
        <f t="shared" si="5"/>
        <v>Lowland|TRUE|700to900|DrainedArGr</v>
      </c>
      <c r="I174" s="127">
        <v>0.47504718843725707</v>
      </c>
      <c r="J174" s="127">
        <v>6.2363573372131897</v>
      </c>
      <c r="L174" s="28"/>
      <c r="M174" s="28"/>
      <c r="N174" s="28"/>
      <c r="O174" s="28"/>
      <c r="P174" s="120"/>
    </row>
    <row r="175" spans="2:16" x14ac:dyDescent="0.35">
      <c r="B175" s="130"/>
      <c r="C175" s="184" t="s">
        <v>196</v>
      </c>
      <c r="D175" s="184" t="s">
        <v>208</v>
      </c>
      <c r="E175" s="184" t="b">
        <v>0</v>
      </c>
      <c r="F175" s="184" t="s">
        <v>202</v>
      </c>
      <c r="G175" s="184" t="s">
        <v>199</v>
      </c>
      <c r="H175" s="44" t="str">
        <f t="shared" si="5"/>
        <v>Lowland|FALSE|900to1200|FreeDrain</v>
      </c>
      <c r="I175" s="127">
        <v>0.11771860198790692</v>
      </c>
      <c r="J175" s="127">
        <v>11.653903357537038</v>
      </c>
      <c r="L175" s="28"/>
      <c r="M175" s="28"/>
      <c r="N175" s="28"/>
      <c r="O175" s="28"/>
      <c r="P175" s="120"/>
    </row>
    <row r="176" spans="2:16" x14ac:dyDescent="0.35">
      <c r="B176" s="130"/>
      <c r="C176" s="184" t="s">
        <v>196</v>
      </c>
      <c r="D176" s="184" t="s">
        <v>208</v>
      </c>
      <c r="E176" s="184" t="b">
        <v>1</v>
      </c>
      <c r="F176" s="184" t="s">
        <v>202</v>
      </c>
      <c r="G176" s="184" t="s">
        <v>199</v>
      </c>
      <c r="H176" s="44" t="str">
        <f t="shared" si="5"/>
        <v>Lowland|TRUE|900to1200|FreeDrain</v>
      </c>
      <c r="I176" s="127">
        <v>0.11771840027051352</v>
      </c>
      <c r="J176" s="127">
        <v>11.585991293723444</v>
      </c>
      <c r="L176" s="28"/>
      <c r="M176" s="28"/>
      <c r="N176" s="28"/>
      <c r="O176" s="28"/>
      <c r="P176" s="120"/>
    </row>
    <row r="177" spans="2:16" x14ac:dyDescent="0.35">
      <c r="B177" s="130"/>
      <c r="C177" s="184" t="s">
        <v>196</v>
      </c>
      <c r="D177" s="184" t="s">
        <v>208</v>
      </c>
      <c r="E177" s="184" t="b">
        <v>0</v>
      </c>
      <c r="F177" s="184" t="s">
        <v>202</v>
      </c>
      <c r="G177" s="184" t="s">
        <v>200</v>
      </c>
      <c r="H177" s="44" t="str">
        <f t="shared" si="5"/>
        <v>Lowland|FALSE|900to1200|DrainedAr</v>
      </c>
      <c r="I177" s="127">
        <v>0.2150660010060545</v>
      </c>
      <c r="J177" s="127">
        <v>10.907505743238106</v>
      </c>
      <c r="L177" s="28"/>
      <c r="M177" s="28"/>
      <c r="N177" s="28"/>
      <c r="O177" s="28"/>
      <c r="P177" s="120"/>
    </row>
    <row r="178" spans="2:16" x14ac:dyDescent="0.35">
      <c r="B178" s="130"/>
      <c r="C178" s="184" t="s">
        <v>196</v>
      </c>
      <c r="D178" s="184" t="s">
        <v>208</v>
      </c>
      <c r="E178" s="184" t="b">
        <v>1</v>
      </c>
      <c r="F178" s="184" t="s">
        <v>202</v>
      </c>
      <c r="G178" s="184" t="s">
        <v>200</v>
      </c>
      <c r="H178" s="44" t="str">
        <f t="shared" si="5"/>
        <v>Lowland|TRUE|900to1200|DrainedAr</v>
      </c>
      <c r="I178" s="127">
        <v>0.21506574256239269</v>
      </c>
      <c r="J178" s="127">
        <v>10.845932072365121</v>
      </c>
      <c r="L178" s="28"/>
      <c r="M178" s="28"/>
      <c r="N178" s="28"/>
      <c r="O178" s="28"/>
      <c r="P178" s="120"/>
    </row>
    <row r="179" spans="2:16" x14ac:dyDescent="0.35">
      <c r="B179" s="130"/>
      <c r="C179" s="184" t="s">
        <v>196</v>
      </c>
      <c r="D179" s="184" t="s">
        <v>208</v>
      </c>
      <c r="E179" s="184" t="b">
        <v>0</v>
      </c>
      <c r="F179" s="184" t="s">
        <v>202</v>
      </c>
      <c r="G179" s="184" t="s">
        <v>201</v>
      </c>
      <c r="H179" s="44" t="str">
        <f t="shared" si="5"/>
        <v>Lowland|FALSE|900to1200|DrainedArGr</v>
      </c>
      <c r="I179" s="127">
        <v>0.81939338259049976</v>
      </c>
      <c r="J179" s="127">
        <v>8.0867184950888866</v>
      </c>
      <c r="L179" s="28"/>
      <c r="M179" s="28"/>
      <c r="N179" s="28"/>
      <c r="O179" s="28"/>
      <c r="P179" s="120"/>
    </row>
    <row r="180" spans="2:16" x14ac:dyDescent="0.35">
      <c r="B180" s="130"/>
      <c r="C180" s="184" t="s">
        <v>196</v>
      </c>
      <c r="D180" s="184" t="s">
        <v>209</v>
      </c>
      <c r="E180" s="184" t="b">
        <v>0</v>
      </c>
      <c r="F180" s="184" t="s">
        <v>198</v>
      </c>
      <c r="G180" s="184" t="s">
        <v>199</v>
      </c>
      <c r="H180" s="44" t="str">
        <f t="shared" si="5"/>
        <v>Mixed|FALSE|700to900|FreeDrain</v>
      </c>
      <c r="I180" s="127">
        <v>0.10238467097642241</v>
      </c>
      <c r="J180" s="127">
        <v>22.11151493128385</v>
      </c>
      <c r="L180" s="28"/>
      <c r="M180" s="28"/>
      <c r="N180" s="28"/>
      <c r="O180" s="28"/>
      <c r="P180" s="120"/>
    </row>
    <row r="181" spans="2:16" x14ac:dyDescent="0.35">
      <c r="B181" s="130"/>
      <c r="C181" s="184" t="s">
        <v>196</v>
      </c>
      <c r="D181" s="184" t="s">
        <v>209</v>
      </c>
      <c r="E181" s="184" t="b">
        <v>1</v>
      </c>
      <c r="F181" s="184" t="s">
        <v>198</v>
      </c>
      <c r="G181" s="184" t="s">
        <v>199</v>
      </c>
      <c r="H181" s="44" t="str">
        <f t="shared" si="5"/>
        <v>Mixed|TRUE|700to900|FreeDrain</v>
      </c>
      <c r="I181" s="127">
        <v>0.10215299058787009</v>
      </c>
      <c r="J181" s="127">
        <v>22.003551857199479</v>
      </c>
      <c r="L181" s="28"/>
      <c r="M181" s="28"/>
      <c r="N181" s="28"/>
      <c r="O181" s="28"/>
      <c r="P181" s="120"/>
    </row>
    <row r="182" spans="2:16" x14ac:dyDescent="0.35">
      <c r="B182" s="130"/>
      <c r="C182" s="184" t="s">
        <v>196</v>
      </c>
      <c r="D182" s="184" t="s">
        <v>209</v>
      </c>
      <c r="E182" s="184" t="b">
        <v>0</v>
      </c>
      <c r="F182" s="184" t="s">
        <v>198</v>
      </c>
      <c r="G182" s="184" t="s">
        <v>200</v>
      </c>
      <c r="H182" s="44" t="str">
        <f t="shared" si="5"/>
        <v>Mixed|FALSE|700to900|DrainedAr</v>
      </c>
      <c r="I182" s="127">
        <v>0.40516470704828272</v>
      </c>
      <c r="J182" s="127">
        <v>17.072277837539733</v>
      </c>
      <c r="L182" s="28"/>
      <c r="M182" s="28"/>
      <c r="N182" s="28"/>
      <c r="O182" s="28"/>
      <c r="P182" s="120"/>
    </row>
    <row r="183" spans="2:16" x14ac:dyDescent="0.35">
      <c r="B183" s="130"/>
      <c r="C183" s="184" t="s">
        <v>196</v>
      </c>
      <c r="D183" s="184" t="s">
        <v>209</v>
      </c>
      <c r="E183" s="184" t="b">
        <v>1</v>
      </c>
      <c r="F183" s="184" t="s">
        <v>198</v>
      </c>
      <c r="G183" s="184" t="s">
        <v>200</v>
      </c>
      <c r="H183" s="44" t="str">
        <f t="shared" si="5"/>
        <v>Mixed|TRUE|700to900|DrainedAr</v>
      </c>
      <c r="I183" s="127">
        <v>0.40345606724883609</v>
      </c>
      <c r="J183" s="127">
        <v>16.892057102061649</v>
      </c>
      <c r="L183" s="28"/>
      <c r="M183" s="28"/>
      <c r="N183" s="28"/>
      <c r="O183" s="28"/>
      <c r="P183" s="120"/>
    </row>
    <row r="184" spans="2:16" x14ac:dyDescent="0.35">
      <c r="B184" s="130"/>
      <c r="C184" s="184" t="s">
        <v>196</v>
      </c>
      <c r="D184" s="184" t="s">
        <v>209</v>
      </c>
      <c r="E184" s="184" t="b">
        <v>0</v>
      </c>
      <c r="F184" s="184" t="s">
        <v>198</v>
      </c>
      <c r="G184" s="184" t="s">
        <v>201</v>
      </c>
      <c r="H184" s="44" t="str">
        <f t="shared" si="5"/>
        <v>Mixed|FALSE|700to900|DrainedArGr</v>
      </c>
      <c r="I184" s="127">
        <v>0.75317153993985642</v>
      </c>
      <c r="J184" s="127">
        <v>14.198541364847483</v>
      </c>
      <c r="L184" s="28"/>
      <c r="M184" s="28"/>
      <c r="N184" s="28"/>
      <c r="O184" s="28"/>
      <c r="P184" s="120"/>
    </row>
    <row r="185" spans="2:16" x14ac:dyDescent="0.35">
      <c r="B185" s="130"/>
      <c r="C185" s="184" t="s">
        <v>196</v>
      </c>
      <c r="D185" s="184" t="s">
        <v>209</v>
      </c>
      <c r="E185" s="184" t="b">
        <v>1</v>
      </c>
      <c r="F185" s="184" t="s">
        <v>198</v>
      </c>
      <c r="G185" s="184" t="s">
        <v>201</v>
      </c>
      <c r="H185" s="44" t="str">
        <f t="shared" si="5"/>
        <v>Mixed|TRUE|700to900|DrainedArGr</v>
      </c>
      <c r="I185" s="127">
        <v>0.74968351262776201</v>
      </c>
      <c r="J185" s="127">
        <v>13.997646359097837</v>
      </c>
      <c r="L185" s="28"/>
      <c r="M185" s="28"/>
      <c r="N185" s="28"/>
      <c r="O185" s="28"/>
      <c r="P185" s="120"/>
    </row>
    <row r="186" spans="2:16" x14ac:dyDescent="0.35">
      <c r="B186" s="130"/>
      <c r="C186" s="184" t="s">
        <v>196</v>
      </c>
      <c r="D186" s="184" t="s">
        <v>209</v>
      </c>
      <c r="E186" s="184" t="b">
        <v>1</v>
      </c>
      <c r="F186" s="184" t="s">
        <v>202</v>
      </c>
      <c r="G186" s="184" t="s">
        <v>199</v>
      </c>
      <c r="H186" s="44" t="str">
        <f t="shared" si="5"/>
        <v>Mixed|TRUE|900to1200|FreeDrain</v>
      </c>
      <c r="I186" s="127">
        <v>0.17421981058788405</v>
      </c>
      <c r="J186" s="127">
        <v>23.273322856128939</v>
      </c>
      <c r="L186" s="28"/>
      <c r="M186" s="28"/>
      <c r="N186" s="28"/>
      <c r="O186" s="28"/>
      <c r="P186" s="120"/>
    </row>
    <row r="187" spans="2:16" x14ac:dyDescent="0.35">
      <c r="B187" s="130"/>
      <c r="C187" s="184" t="s">
        <v>196</v>
      </c>
      <c r="D187" s="184" t="s">
        <v>209</v>
      </c>
      <c r="E187" s="184" t="b">
        <v>1</v>
      </c>
      <c r="F187" s="184" t="s">
        <v>202</v>
      </c>
      <c r="G187" s="184" t="s">
        <v>200</v>
      </c>
      <c r="H187" s="44" t="str">
        <f t="shared" ref="H187:H188" si="6">D187&amp;"|"&amp;E187&amp;"|"&amp;F187&amp;"|"&amp;G187</f>
        <v>Mixed|TRUE|900to1200|DrainedAr</v>
      </c>
      <c r="I187" s="127">
        <v>0.75934212623525432</v>
      </c>
      <c r="J187" s="127">
        <v>21.089144096358087</v>
      </c>
      <c r="L187" s="28"/>
      <c r="M187" s="28"/>
      <c r="N187" s="28"/>
      <c r="O187" s="28"/>
      <c r="P187" s="120"/>
    </row>
    <row r="188" spans="2:16" x14ac:dyDescent="0.35">
      <c r="B188" s="130"/>
      <c r="C188" s="184" t="s">
        <v>196</v>
      </c>
      <c r="D188" s="184" t="s">
        <v>209</v>
      </c>
      <c r="E188" s="184" t="b">
        <v>0</v>
      </c>
      <c r="F188" s="184" t="s">
        <v>202</v>
      </c>
      <c r="G188" s="184" t="s">
        <v>201</v>
      </c>
      <c r="H188" s="44" t="str">
        <f t="shared" si="6"/>
        <v>Mixed|FALSE|900to1200|DrainedArGr</v>
      </c>
      <c r="I188" s="127">
        <v>1.2480651477820437</v>
      </c>
      <c r="J188" s="127">
        <v>16.711997589402902</v>
      </c>
      <c r="L188" s="28"/>
      <c r="M188" s="28"/>
      <c r="N188" s="28"/>
      <c r="O188" s="28"/>
      <c r="P188" s="120"/>
    </row>
    <row r="189" spans="2:16" ht="16.5" x14ac:dyDescent="0.35">
      <c r="B189" s="130"/>
      <c r="C189" s="184" t="s">
        <v>210</v>
      </c>
      <c r="D189" s="184" t="s">
        <v>210</v>
      </c>
      <c r="E189" s="184" t="s">
        <v>210</v>
      </c>
      <c r="F189" s="184" t="s">
        <v>210</v>
      </c>
      <c r="G189" s="50" t="s">
        <v>211</v>
      </c>
      <c r="H189" s="51" t="str">
        <f>"|"&amp;"|"&amp;"|"&amp;G189</f>
        <v>|||Greenspace</v>
      </c>
      <c r="I189" s="53">
        <v>0.02</v>
      </c>
      <c r="J189" s="127">
        <v>3</v>
      </c>
      <c r="K189" s="38"/>
      <c r="L189" s="182"/>
      <c r="M189" s="182"/>
      <c r="N189" s="182"/>
      <c r="O189" s="182"/>
      <c r="P189" s="120"/>
    </row>
    <row r="190" spans="2:16" ht="16.5" x14ac:dyDescent="0.35">
      <c r="B190" s="130"/>
      <c r="C190" s="184" t="s">
        <v>210</v>
      </c>
      <c r="D190" s="184" t="s">
        <v>210</v>
      </c>
      <c r="E190" s="184" t="s">
        <v>210</v>
      </c>
      <c r="F190" s="184" t="s">
        <v>210</v>
      </c>
      <c r="G190" s="50" t="s">
        <v>212</v>
      </c>
      <c r="H190" s="51" t="str">
        <f>"|"&amp;"|"&amp;"|"&amp;G190</f>
        <v>|||Community food growing</v>
      </c>
      <c r="I190" s="185">
        <f>IFERROR(VLOOKUP((VLOOKUP('Stage 2'!$E$9,Lookups!$C$226:$D$226,2,FALSE)&amp;"|"&amp;"General"&amp;"|"&amp;"FALSE"&amp;"|"&amp;VLOOKUP('Stage 2'!$E$11,Lookups!$C$200:$E$222,3,FALSE)&amp;"|"&amp;"FreeDrain"),$H$55:$O$121,2,FALSE), IFERROR(VLOOKUP("General"&amp;"|"&amp;VLOOKUP('Stage 2'!$E$11,Lookups!$C$200:$E$222,3,FALSE),$K$55:$O$121,2,FALSE),VLOOKUP("General",D55:O121,11,FALSE)))</f>
        <v>0.52038740372938774</v>
      </c>
      <c r="J190" s="185">
        <f>IFERROR(VLOOKUP((VLOOKUP('Stage 2'!$E$9,Lookups!$C$226:$D$226,2,FALSE)&amp;"|"&amp;"General"&amp;"|"&amp;"FALSE"&amp;"|"&amp;VLOOKUP('Stage 2'!$E$11,Lookups!$C$200:$E$222,3,FALSE)&amp;"|"&amp;"FreeDrain"),$H$55:$O$121,3,FALSE), IFERROR(VLOOKUP("General"&amp;"|"&amp;VLOOKUP('Stage 2'!$E$11,Lookups!$C$200:$E$222,3,FALSE),$K$55:$O$121,3,FALSE),VLOOKUP("General",D55:O121,12,FALSE)))</f>
        <v>15.75677741581843</v>
      </c>
      <c r="K190" s="198"/>
      <c r="L190" s="182"/>
      <c r="M190" s="182"/>
      <c r="N190" s="182"/>
      <c r="O190" s="182"/>
      <c r="P190" s="120"/>
    </row>
    <row r="191" spans="2:16" ht="16.5" x14ac:dyDescent="0.35">
      <c r="B191" s="130"/>
      <c r="C191" s="184" t="s">
        <v>210</v>
      </c>
      <c r="D191" s="184" t="s">
        <v>210</v>
      </c>
      <c r="E191" s="184" t="s">
        <v>210</v>
      </c>
      <c r="F191" s="184" t="s">
        <v>210</v>
      </c>
      <c r="G191" s="50" t="s">
        <v>213</v>
      </c>
      <c r="H191" s="51" t="str">
        <f>"|"&amp;"|"&amp;"|"&amp;G191</f>
        <v>|||Woodland</v>
      </c>
      <c r="I191" s="53">
        <v>0.02</v>
      </c>
      <c r="J191" s="127">
        <v>3</v>
      </c>
      <c r="K191" s="38"/>
      <c r="L191" s="182"/>
      <c r="M191" s="182"/>
      <c r="N191" s="182"/>
      <c r="O191" s="182"/>
      <c r="P191" s="120"/>
    </row>
    <row r="192" spans="2:16" ht="16.5" x14ac:dyDescent="0.35">
      <c r="B192" s="130"/>
      <c r="C192" s="184" t="s">
        <v>210</v>
      </c>
      <c r="D192" s="184" t="s">
        <v>210</v>
      </c>
      <c r="E192" s="184" t="s">
        <v>210</v>
      </c>
      <c r="F192" s="184" t="s">
        <v>210</v>
      </c>
      <c r="G192" s="50" t="s">
        <v>214</v>
      </c>
      <c r="H192" s="51" t="str">
        <f>"|"&amp;"|"&amp;"|"&amp;G192</f>
        <v>|||Shrub</v>
      </c>
      <c r="I192" s="53">
        <v>0.02</v>
      </c>
      <c r="J192" s="127">
        <v>3</v>
      </c>
      <c r="K192" s="38"/>
      <c r="L192" s="182"/>
      <c r="M192" s="182"/>
      <c r="N192" s="182"/>
      <c r="O192" s="182"/>
      <c r="P192" s="120"/>
    </row>
    <row r="193" spans="2:16" ht="16.5" x14ac:dyDescent="0.35">
      <c r="B193" s="130"/>
      <c r="C193" s="184" t="s">
        <v>210</v>
      </c>
      <c r="D193" s="184" t="s">
        <v>210</v>
      </c>
      <c r="E193" s="184" t="s">
        <v>210</v>
      </c>
      <c r="F193" s="184" t="s">
        <v>210</v>
      </c>
      <c r="G193" s="50" t="s">
        <v>215</v>
      </c>
      <c r="H193" s="51" t="str">
        <f>"|"&amp;"|"&amp;"|"&amp;G193</f>
        <v>|||Water</v>
      </c>
      <c r="I193" s="53">
        <v>0</v>
      </c>
      <c r="J193" s="127">
        <v>0</v>
      </c>
      <c r="K193" s="38"/>
      <c r="L193" s="182"/>
      <c r="M193" s="182"/>
      <c r="N193" s="182"/>
      <c r="O193" s="182"/>
      <c r="P193" s="120"/>
    </row>
    <row r="194" spans="2:16" ht="16.5" x14ac:dyDescent="0.35">
      <c r="B194" s="130"/>
      <c r="C194" s="184" t="s">
        <v>210</v>
      </c>
      <c r="D194" s="184" t="s">
        <v>210</v>
      </c>
      <c r="E194" s="184" t="s">
        <v>210</v>
      </c>
      <c r="F194" s="184" t="s">
        <v>210</v>
      </c>
      <c r="G194" s="51" t="s">
        <v>216</v>
      </c>
      <c r="H194" s="51" t="str">
        <f t="shared" ref="H194:H196" si="7">"|"&amp;"|"&amp;"|"&amp;G194</f>
        <v>|||Residential urban land</v>
      </c>
      <c r="I194" s="187" t="e">
        <f>VLOOKUP('Stage 2'!E11,Lookups!C200:H222,6,FALSE)</f>
        <v>#N/A</v>
      </c>
      <c r="J194" s="127" t="e">
        <f>VLOOKUP('Stage 2'!E11,Lookups!C200:K222,9,FALSE)</f>
        <v>#N/A</v>
      </c>
      <c r="K194" s="38"/>
      <c r="L194" s="182"/>
      <c r="M194" s="182"/>
      <c r="N194" s="182"/>
      <c r="O194" s="182"/>
      <c r="P194" s="120"/>
    </row>
    <row r="195" spans="2:16" ht="16.5" x14ac:dyDescent="0.35">
      <c r="B195" s="130"/>
      <c r="C195" s="184" t="s">
        <v>210</v>
      </c>
      <c r="D195" s="184" t="s">
        <v>210</v>
      </c>
      <c r="E195" s="184" t="s">
        <v>210</v>
      </c>
      <c r="F195" s="184" t="s">
        <v>210</v>
      </c>
      <c r="G195" s="51" t="s">
        <v>217</v>
      </c>
      <c r="H195" s="51" t="str">
        <f t="shared" si="7"/>
        <v>|||Commercial/industrial urban land</v>
      </c>
      <c r="I195" s="187" t="e">
        <f>VLOOKUP('Stage 2'!E11,Lookups!C200:I222,7,FALSE)</f>
        <v>#N/A</v>
      </c>
      <c r="J195" s="127" t="e">
        <f>VLOOKUP('Stage 2'!E11,Lookups!C200:M222,10,FALSE)</f>
        <v>#N/A</v>
      </c>
      <c r="K195" s="38"/>
      <c r="L195" s="182"/>
      <c r="M195" s="182"/>
      <c r="N195" s="182"/>
      <c r="O195" s="182"/>
      <c r="P195" s="120"/>
    </row>
    <row r="196" spans="2:16" ht="16.5" x14ac:dyDescent="0.35">
      <c r="B196" s="130"/>
      <c r="C196" s="184" t="s">
        <v>210</v>
      </c>
      <c r="D196" s="184" t="s">
        <v>210</v>
      </c>
      <c r="E196" s="184" t="s">
        <v>210</v>
      </c>
      <c r="F196" s="184" t="s">
        <v>210</v>
      </c>
      <c r="G196" s="51" t="s">
        <v>218</v>
      </c>
      <c r="H196" s="51" t="str">
        <f t="shared" si="7"/>
        <v>|||Open urban land</v>
      </c>
      <c r="I196" s="187" t="e">
        <f>VLOOKUP('Stage 2'!E11,Lookups!C200:J222,8,FALSE)</f>
        <v>#N/A</v>
      </c>
      <c r="J196" s="127" t="e">
        <f>VLOOKUP('Stage 2'!E11,Lookups!C200:P222,11,FALSE)</f>
        <v>#N/A</v>
      </c>
      <c r="K196" s="38"/>
      <c r="L196" s="182"/>
      <c r="M196" s="182"/>
      <c r="N196" s="182"/>
      <c r="O196" s="182"/>
      <c r="P196" s="120"/>
    </row>
    <row r="197" spans="2:16" x14ac:dyDescent="0.35">
      <c r="B197" s="130"/>
      <c r="C197" s="27"/>
      <c r="D197" s="27"/>
      <c r="E197" s="27"/>
      <c r="F197" s="27"/>
      <c r="G197" s="27"/>
      <c r="H197" s="27"/>
      <c r="I197" s="28"/>
      <c r="J197" s="28"/>
      <c r="K197" s="27"/>
      <c r="L197" s="182"/>
      <c r="M197" s="182"/>
      <c r="N197" s="182"/>
      <c r="O197" s="182"/>
      <c r="P197" s="120"/>
    </row>
    <row r="198" spans="2:16" x14ac:dyDescent="0.35">
      <c r="B198" s="130"/>
      <c r="C198" s="27" t="s">
        <v>219</v>
      </c>
      <c r="D198" s="27"/>
      <c r="E198" s="27"/>
      <c r="F198" s="27"/>
      <c r="G198" s="27"/>
      <c r="H198" s="27"/>
      <c r="I198" s="28"/>
      <c r="J198" s="28"/>
      <c r="K198" s="27"/>
      <c r="L198" s="182"/>
      <c r="M198" s="182"/>
      <c r="N198" s="182"/>
      <c r="O198" s="182"/>
      <c r="P198" s="120"/>
    </row>
    <row r="199" spans="2:16" ht="28.5" thickBot="1" x14ac:dyDescent="0.4">
      <c r="B199" s="130"/>
      <c r="C199" s="33" t="s">
        <v>220</v>
      </c>
      <c r="D199" s="47" t="s">
        <v>221</v>
      </c>
      <c r="E199" s="47" t="s">
        <v>222</v>
      </c>
      <c r="F199" s="47" t="s">
        <v>223</v>
      </c>
      <c r="G199" s="47" t="s">
        <v>224</v>
      </c>
      <c r="H199" s="47" t="s">
        <v>225</v>
      </c>
      <c r="I199" s="47" t="s">
        <v>226</v>
      </c>
      <c r="J199" s="47" t="s">
        <v>227</v>
      </c>
      <c r="K199" s="47" t="s">
        <v>228</v>
      </c>
      <c r="L199" s="33" t="s">
        <v>229</v>
      </c>
      <c r="M199" s="129" t="s">
        <v>230</v>
      </c>
      <c r="N199" s="15"/>
      <c r="O199" s="15"/>
      <c r="P199" s="120"/>
    </row>
    <row r="200" spans="2:16" ht="15" thickTop="1" x14ac:dyDescent="0.35">
      <c r="B200" s="130"/>
      <c r="C200" s="48" t="s">
        <v>231</v>
      </c>
      <c r="D200" s="185">
        <v>516.5</v>
      </c>
      <c r="E200" s="52" t="s">
        <v>232</v>
      </c>
      <c r="F200" s="185">
        <v>47.366326420209788</v>
      </c>
      <c r="G200" s="185">
        <v>63.946326420209786</v>
      </c>
      <c r="H200" s="185">
        <v>1.0030530114375726</v>
      </c>
      <c r="I200" s="185">
        <v>0.73394122788115068</v>
      </c>
      <c r="J200" s="185">
        <v>0.5382235671128438</v>
      </c>
      <c r="K200" s="185">
        <v>9.4130591148709328</v>
      </c>
      <c r="L200" s="188">
        <v>5.0202981945978298</v>
      </c>
      <c r="M200" s="186">
        <v>5.5487506361344439</v>
      </c>
      <c r="N200" s="189"/>
      <c r="O200" s="189"/>
      <c r="P200" s="120"/>
    </row>
    <row r="201" spans="2:16" x14ac:dyDescent="0.35">
      <c r="B201" s="130"/>
      <c r="C201" s="48" t="s">
        <v>233</v>
      </c>
      <c r="D201" s="185">
        <v>537.54999999999995</v>
      </c>
      <c r="E201" s="52" t="s">
        <v>232</v>
      </c>
      <c r="F201" s="185">
        <v>47.605509573313697</v>
      </c>
      <c r="G201" s="185">
        <v>64.185509573313695</v>
      </c>
      <c r="H201" s="185">
        <v>1.049204008516526</v>
      </c>
      <c r="I201" s="185">
        <v>0.76771025013404326</v>
      </c>
      <c r="J201" s="185">
        <v>0.56298751676496517</v>
      </c>
      <c r="K201" s="185">
        <v>9.8333323912734105</v>
      </c>
      <c r="L201" s="188">
        <v>5.2444439420124853</v>
      </c>
      <c r="M201" s="186">
        <v>5.7964906727506413</v>
      </c>
      <c r="N201" s="189"/>
      <c r="O201" s="189"/>
      <c r="P201" s="120"/>
    </row>
    <row r="202" spans="2:16" x14ac:dyDescent="0.35">
      <c r="B202" s="130"/>
      <c r="C202" s="48" t="s">
        <v>234</v>
      </c>
      <c r="D202" s="185">
        <v>562.54999999999995</v>
      </c>
      <c r="E202" s="52" t="s">
        <v>232</v>
      </c>
      <c r="F202" s="185">
        <v>47.8624816470968</v>
      </c>
      <c r="G202" s="185">
        <v>64.442481647096798</v>
      </c>
      <c r="H202" s="185">
        <v>1.1039266010735462</v>
      </c>
      <c r="I202" s="185">
        <v>0.80775117151722908</v>
      </c>
      <c r="J202" s="185">
        <v>0.59235085911263463</v>
      </c>
      <c r="K202" s="185">
        <v>10.331853644413675</v>
      </c>
      <c r="L202" s="188">
        <v>5.5103219436872939</v>
      </c>
      <c r="M202" s="186">
        <v>6.0903558324964822</v>
      </c>
      <c r="N202" s="189"/>
      <c r="O202" s="189"/>
      <c r="P202" s="120"/>
    </row>
    <row r="203" spans="2:16" x14ac:dyDescent="0.35">
      <c r="B203" s="130"/>
      <c r="C203" s="48" t="s">
        <v>235</v>
      </c>
      <c r="D203" s="185">
        <v>587.54999999999995</v>
      </c>
      <c r="E203" s="52" t="s">
        <v>232</v>
      </c>
      <c r="F203" s="185">
        <v>48.089720428979902</v>
      </c>
      <c r="G203" s="185">
        <v>64.6697204289799</v>
      </c>
      <c r="H203" s="185">
        <v>1.1584597247599329</v>
      </c>
      <c r="I203" s="185">
        <v>0.84765345714141427</v>
      </c>
      <c r="J203" s="185">
        <v>0.62161253523703719</v>
      </c>
      <c r="K203" s="185">
        <v>10.829057857843434</v>
      </c>
      <c r="L203" s="188">
        <v>5.775497524183165</v>
      </c>
      <c r="M203" s="186">
        <v>6.3834446319919191</v>
      </c>
      <c r="N203" s="189"/>
      <c r="O203" s="189"/>
      <c r="P203" s="120"/>
    </row>
    <row r="204" spans="2:16" x14ac:dyDescent="0.35">
      <c r="B204" s="130"/>
      <c r="C204" s="48" t="s">
        <v>236</v>
      </c>
      <c r="D204" s="185">
        <v>612.54999999999995</v>
      </c>
      <c r="E204" s="52" t="s">
        <v>237</v>
      </c>
      <c r="F204" s="185">
        <v>48.286892468962989</v>
      </c>
      <c r="G204" s="185">
        <v>64.866892468962988</v>
      </c>
      <c r="H204" s="185">
        <v>1.2127035752563942</v>
      </c>
      <c r="I204" s="185">
        <v>0.88734407945589822</v>
      </c>
      <c r="J204" s="185">
        <v>0.650718991600992</v>
      </c>
      <c r="K204" s="185">
        <v>11.324251269831036</v>
      </c>
      <c r="L204" s="188">
        <v>6.0396006772432189</v>
      </c>
      <c r="M204" s="186">
        <v>6.6753481169530309</v>
      </c>
      <c r="N204" s="189"/>
      <c r="O204" s="189"/>
      <c r="P204" s="120"/>
    </row>
    <row r="205" spans="2:16" x14ac:dyDescent="0.35">
      <c r="B205" s="130"/>
      <c r="C205" s="48" t="s">
        <v>238</v>
      </c>
      <c r="D205" s="185">
        <v>637.54999999999995</v>
      </c>
      <c r="E205" s="52" t="s">
        <v>237</v>
      </c>
      <c r="F205" s="185">
        <v>48.453664317046091</v>
      </c>
      <c r="G205" s="185">
        <v>65.033664317046089</v>
      </c>
      <c r="H205" s="185">
        <v>1.2665569810986419</v>
      </c>
      <c r="I205" s="185">
        <v>0.92674901055998193</v>
      </c>
      <c r="J205" s="185">
        <v>0.67961594107732015</v>
      </c>
      <c r="K205" s="185">
        <v>11.816730615319829</v>
      </c>
      <c r="L205" s="188">
        <v>6.302256328170575</v>
      </c>
      <c r="M205" s="186">
        <v>6.9656517311358979</v>
      </c>
      <c r="N205" s="189"/>
      <c r="O205" s="189"/>
      <c r="P205" s="120"/>
    </row>
    <row r="206" spans="2:16" x14ac:dyDescent="0.35">
      <c r="B206" s="130"/>
      <c r="C206" s="48" t="s">
        <v>239</v>
      </c>
      <c r="D206" s="185">
        <v>662.55</v>
      </c>
      <c r="E206" s="52" t="s">
        <v>237</v>
      </c>
      <c r="F206" s="185">
        <v>48.589702523229192</v>
      </c>
      <c r="G206" s="185">
        <v>65.169702523229191</v>
      </c>
      <c r="H206" s="185">
        <v>1.3199174036773855</v>
      </c>
      <c r="I206" s="185">
        <v>0.96579322220296504</v>
      </c>
      <c r="J206" s="185">
        <v>0.70824836294884108</v>
      </c>
      <c r="K206" s="185">
        <v>12.305783125928167</v>
      </c>
      <c r="L206" s="188">
        <v>6.5630843338283551</v>
      </c>
      <c r="M206" s="186">
        <v>7.2539353163366025</v>
      </c>
      <c r="N206" s="189"/>
      <c r="O206" s="189"/>
      <c r="P206" s="120"/>
    </row>
    <row r="207" spans="2:16" x14ac:dyDescent="0.35">
      <c r="B207" s="130"/>
      <c r="C207" s="48" t="s">
        <v>240</v>
      </c>
      <c r="D207" s="185">
        <v>687.55</v>
      </c>
      <c r="E207" s="52" t="s">
        <v>237</v>
      </c>
      <c r="F207" s="185">
        <v>48.694673637512295</v>
      </c>
      <c r="G207" s="185">
        <v>65.274673637512294</v>
      </c>
      <c r="H207" s="185">
        <v>1.3726809372383346</v>
      </c>
      <c r="I207" s="185">
        <v>1.0044006857841474</v>
      </c>
      <c r="J207" s="185">
        <v>0.73656050290837471</v>
      </c>
      <c r="K207" s="185">
        <v>12.790686529949399</v>
      </c>
      <c r="L207" s="188">
        <v>6.82169948263968</v>
      </c>
      <c r="M207" s="186">
        <v>7.5397731123912237</v>
      </c>
      <c r="N207" s="189"/>
      <c r="O207" s="189"/>
      <c r="P207" s="120"/>
    </row>
    <row r="208" spans="2:16" x14ac:dyDescent="0.35">
      <c r="B208" s="130"/>
      <c r="C208" s="48" t="s">
        <v>241</v>
      </c>
      <c r="D208" s="185">
        <v>725.05</v>
      </c>
      <c r="E208" s="52" t="s">
        <v>198</v>
      </c>
      <c r="F208" s="185">
        <v>48.793150089749446</v>
      </c>
      <c r="G208" s="185">
        <v>65.373150089749444</v>
      </c>
      <c r="H208" s="185">
        <v>1.4504764123754863</v>
      </c>
      <c r="I208" s="185">
        <v>1.0613242041771849</v>
      </c>
      <c r="J208" s="185">
        <v>0.77830441639660242</v>
      </c>
      <c r="K208" s="185">
        <v>13.508658704683258</v>
      </c>
      <c r="L208" s="188">
        <v>7.20461797583107</v>
      </c>
      <c r="M208" s="186">
        <v>7.9629988153922353</v>
      </c>
      <c r="N208" s="189"/>
      <c r="O208" s="189"/>
      <c r="P208" s="120"/>
    </row>
    <row r="209" spans="2:16" x14ac:dyDescent="0.35">
      <c r="B209" s="130"/>
      <c r="C209" s="48" t="s">
        <v>242</v>
      </c>
      <c r="D209" s="185">
        <v>775.05</v>
      </c>
      <c r="E209" s="52" t="s">
        <v>198</v>
      </c>
      <c r="F209" s="185">
        <v>48.817999999999984</v>
      </c>
      <c r="G209" s="185">
        <v>65.397999999999982</v>
      </c>
      <c r="H209" s="185">
        <v>1.5512920268999992</v>
      </c>
      <c r="I209" s="185">
        <v>1.1350917269999994</v>
      </c>
      <c r="J209" s="185">
        <v>0.83240059979999959</v>
      </c>
      <c r="K209" s="185">
        <v>14.445715171499996</v>
      </c>
      <c r="L209" s="188">
        <v>7.7043814247999975</v>
      </c>
      <c r="M209" s="186">
        <v>8.5153689431999986</v>
      </c>
      <c r="N209" s="189"/>
      <c r="O209" s="189"/>
      <c r="P209" s="120"/>
    </row>
    <row r="210" spans="2:16" x14ac:dyDescent="0.35">
      <c r="B210" s="130"/>
      <c r="C210" s="48" t="s">
        <v>243</v>
      </c>
      <c r="D210" s="185">
        <v>825.05</v>
      </c>
      <c r="E210" s="52" t="s">
        <v>198</v>
      </c>
      <c r="F210" s="185">
        <v>48.817999999999984</v>
      </c>
      <c r="G210" s="185">
        <v>65.397999999999982</v>
      </c>
      <c r="H210" s="185">
        <v>1.6513689268999994</v>
      </c>
      <c r="I210" s="185">
        <v>1.2083187269999995</v>
      </c>
      <c r="J210" s="185">
        <v>0.88610039979999966</v>
      </c>
      <c r="K210" s="185">
        <v>15.377636671499994</v>
      </c>
      <c r="L210" s="188">
        <v>8.2014062247999959</v>
      </c>
      <c r="M210" s="186">
        <v>9.064712143199996</v>
      </c>
      <c r="N210" s="189"/>
      <c r="O210" s="189"/>
      <c r="P210" s="120"/>
    </row>
    <row r="211" spans="2:16" x14ac:dyDescent="0.35">
      <c r="B211" s="130"/>
      <c r="C211" s="48" t="s">
        <v>244</v>
      </c>
      <c r="D211" s="185">
        <v>875.05</v>
      </c>
      <c r="E211" s="52" t="s">
        <v>198</v>
      </c>
      <c r="F211" s="185">
        <v>48.817999999999984</v>
      </c>
      <c r="G211" s="185">
        <v>65.397999999999982</v>
      </c>
      <c r="H211" s="185">
        <v>1.7514458268999995</v>
      </c>
      <c r="I211" s="185">
        <v>1.2815457269999997</v>
      </c>
      <c r="J211" s="185">
        <v>0.93980019979999974</v>
      </c>
      <c r="K211" s="185">
        <v>16.309558171499994</v>
      </c>
      <c r="L211" s="188">
        <v>8.6984310247999979</v>
      </c>
      <c r="M211" s="186">
        <v>9.6140553431999969</v>
      </c>
      <c r="N211" s="189"/>
      <c r="O211" s="189"/>
      <c r="P211" s="120"/>
    </row>
    <row r="212" spans="2:16" x14ac:dyDescent="0.35">
      <c r="B212" s="130"/>
      <c r="C212" s="48" t="s">
        <v>245</v>
      </c>
      <c r="D212" s="185">
        <v>925.05</v>
      </c>
      <c r="E212" s="52" t="s">
        <v>202</v>
      </c>
      <c r="F212" s="185">
        <v>48.817999999999984</v>
      </c>
      <c r="G212" s="185">
        <v>65.397999999999982</v>
      </c>
      <c r="H212" s="185">
        <v>1.851522726899999</v>
      </c>
      <c r="I212" s="185">
        <v>1.3547727269999992</v>
      </c>
      <c r="J212" s="185">
        <v>0.99349999979999948</v>
      </c>
      <c r="K212" s="185">
        <v>17.241479671499995</v>
      </c>
      <c r="L212" s="188">
        <v>9.1954558247999962</v>
      </c>
      <c r="M212" s="186">
        <v>10.163398543199996</v>
      </c>
      <c r="N212" s="189"/>
      <c r="O212" s="189"/>
      <c r="P212" s="120"/>
    </row>
    <row r="213" spans="2:16" x14ac:dyDescent="0.35">
      <c r="B213" s="130"/>
      <c r="C213" s="48" t="s">
        <v>246</v>
      </c>
      <c r="D213" s="185">
        <v>975.05</v>
      </c>
      <c r="E213" s="52" t="s">
        <v>202</v>
      </c>
      <c r="F213" s="185">
        <v>48.817999999999984</v>
      </c>
      <c r="G213" s="185">
        <v>65.397999999999982</v>
      </c>
      <c r="H213" s="185">
        <v>1.9515996268999991</v>
      </c>
      <c r="I213" s="185">
        <v>1.4279997269999993</v>
      </c>
      <c r="J213" s="185">
        <v>1.0471997997999996</v>
      </c>
      <c r="K213" s="185">
        <v>18.173401171499993</v>
      </c>
      <c r="L213" s="188">
        <v>9.6924806247999964</v>
      </c>
      <c r="M213" s="186">
        <v>10.712741743199995</v>
      </c>
      <c r="N213" s="189"/>
      <c r="O213" s="189"/>
      <c r="P213" s="120"/>
    </row>
    <row r="214" spans="2:16" x14ac:dyDescent="0.35">
      <c r="B214" s="130"/>
      <c r="C214" s="48" t="s">
        <v>247</v>
      </c>
      <c r="D214" s="185">
        <v>1050.05</v>
      </c>
      <c r="E214" s="52" t="s">
        <v>202</v>
      </c>
      <c r="F214" s="185">
        <v>48.817999999999984</v>
      </c>
      <c r="G214" s="185">
        <v>65.397999999999982</v>
      </c>
      <c r="H214" s="185">
        <v>2.101714976899999</v>
      </c>
      <c r="I214" s="185">
        <v>1.5378402269999993</v>
      </c>
      <c r="J214" s="185">
        <v>1.1277494997999997</v>
      </c>
      <c r="K214" s="185">
        <v>19.571283421499995</v>
      </c>
      <c r="L214" s="188">
        <v>10.438017824799996</v>
      </c>
      <c r="M214" s="186">
        <v>11.536756543199996</v>
      </c>
      <c r="N214" s="189"/>
      <c r="O214" s="189"/>
      <c r="P214" s="120"/>
    </row>
    <row r="215" spans="2:16" x14ac:dyDescent="0.35">
      <c r="B215" s="130"/>
      <c r="C215" s="48" t="s">
        <v>248</v>
      </c>
      <c r="D215" s="185">
        <v>1150.05</v>
      </c>
      <c r="E215" s="52" t="s">
        <v>202</v>
      </c>
      <c r="F215" s="185">
        <v>48.817999999999984</v>
      </c>
      <c r="G215" s="185">
        <v>65.397999999999982</v>
      </c>
      <c r="H215" s="185">
        <v>2.3018687768999988</v>
      </c>
      <c r="I215" s="185">
        <v>1.6842942269999992</v>
      </c>
      <c r="J215" s="185">
        <v>1.2351490997999994</v>
      </c>
      <c r="K215" s="185">
        <v>21.435126421499994</v>
      </c>
      <c r="L215" s="188">
        <v>11.432067424799996</v>
      </c>
      <c r="M215" s="186">
        <v>12.635442943199996</v>
      </c>
      <c r="N215" s="189"/>
      <c r="O215" s="189"/>
      <c r="P215" s="120"/>
    </row>
    <row r="216" spans="2:16" x14ac:dyDescent="0.35">
      <c r="B216" s="130"/>
      <c r="C216" s="48" t="s">
        <v>249</v>
      </c>
      <c r="D216" s="185">
        <v>1300.05</v>
      </c>
      <c r="E216" s="52" t="s">
        <v>250</v>
      </c>
      <c r="F216" s="185">
        <v>48.817999999999984</v>
      </c>
      <c r="G216" s="185">
        <v>65.397999999999982</v>
      </c>
      <c r="H216" s="185">
        <v>2.602099476899999</v>
      </c>
      <c r="I216" s="185">
        <v>1.9039752269999992</v>
      </c>
      <c r="J216" s="185">
        <v>1.3962484997999995</v>
      </c>
      <c r="K216" s="185">
        <v>24.230890921499991</v>
      </c>
      <c r="L216" s="188">
        <v>12.923141824799995</v>
      </c>
      <c r="M216" s="186">
        <v>14.283472543199993</v>
      </c>
      <c r="N216" s="189"/>
      <c r="O216" s="189"/>
      <c r="P216" s="120"/>
    </row>
    <row r="217" spans="2:16" x14ac:dyDescent="0.35">
      <c r="B217" s="130"/>
      <c r="C217" s="48" t="s">
        <v>251</v>
      </c>
      <c r="D217" s="185">
        <v>1500.05</v>
      </c>
      <c r="E217" s="52" t="s">
        <v>250</v>
      </c>
      <c r="F217" s="185">
        <v>48.817999999999984</v>
      </c>
      <c r="G217" s="185">
        <v>65.397999999999982</v>
      </c>
      <c r="H217" s="185">
        <v>3.0024070768999986</v>
      </c>
      <c r="I217" s="185">
        <v>2.1968832269999989</v>
      </c>
      <c r="J217" s="185">
        <v>1.6110476997999994</v>
      </c>
      <c r="K217" s="185">
        <v>27.95857692149999</v>
      </c>
      <c r="L217" s="188">
        <v>14.911241024799995</v>
      </c>
      <c r="M217" s="186">
        <v>16.480845343199995</v>
      </c>
      <c r="N217" s="189"/>
      <c r="O217" s="189"/>
      <c r="P217" s="120"/>
    </row>
    <row r="218" spans="2:16" x14ac:dyDescent="0.35">
      <c r="B218" s="130"/>
      <c r="C218" s="48" t="s">
        <v>252</v>
      </c>
      <c r="D218" s="185">
        <v>1800.05</v>
      </c>
      <c r="E218" s="52" t="s">
        <v>253</v>
      </c>
      <c r="F218" s="185">
        <v>48.817999999999984</v>
      </c>
      <c r="G218" s="185">
        <v>65.397999999999982</v>
      </c>
      <c r="H218" s="185">
        <v>3.6028684768999981</v>
      </c>
      <c r="I218" s="185">
        <v>2.6362452269999985</v>
      </c>
      <c r="J218" s="185">
        <v>1.9332464997999992</v>
      </c>
      <c r="K218" s="185">
        <v>33.550105921499991</v>
      </c>
      <c r="L218" s="188">
        <v>17.893389824799996</v>
      </c>
      <c r="M218" s="186">
        <v>19.776904543199993</v>
      </c>
      <c r="N218" s="189"/>
      <c r="O218" s="189"/>
      <c r="P218" s="120"/>
    </row>
    <row r="219" spans="2:16" x14ac:dyDescent="0.35">
      <c r="B219" s="130"/>
      <c r="C219" s="48" t="s">
        <v>254</v>
      </c>
      <c r="D219" s="185">
        <v>2200.0500000000002</v>
      </c>
      <c r="E219" s="52" t="s">
        <v>253</v>
      </c>
      <c r="F219" s="185">
        <v>48.817999999999984</v>
      </c>
      <c r="G219" s="185">
        <v>65.397999999999982</v>
      </c>
      <c r="H219" s="185">
        <v>4.4034836768999988</v>
      </c>
      <c r="I219" s="185">
        <v>3.2220612269999993</v>
      </c>
      <c r="J219" s="185">
        <v>2.3628448997999998</v>
      </c>
      <c r="K219" s="185">
        <v>41.005477921499988</v>
      </c>
      <c r="L219" s="188">
        <v>21.869588224799994</v>
      </c>
      <c r="M219" s="186">
        <v>24.17165014319999</v>
      </c>
      <c r="N219" s="189"/>
      <c r="O219" s="189"/>
      <c r="P219" s="120"/>
    </row>
    <row r="220" spans="2:16" x14ac:dyDescent="0.35">
      <c r="B220" s="130"/>
      <c r="C220" s="48" t="s">
        <v>255</v>
      </c>
      <c r="D220" s="185">
        <v>2700.05</v>
      </c>
      <c r="E220" s="52" t="s">
        <v>253</v>
      </c>
      <c r="F220" s="185">
        <v>48.817999999999984</v>
      </c>
      <c r="G220" s="185">
        <v>65.397999999999982</v>
      </c>
      <c r="H220" s="185">
        <v>5.4042526768999988</v>
      </c>
      <c r="I220" s="185">
        <v>3.9543312269999986</v>
      </c>
      <c r="J220" s="185">
        <v>2.8998428997999994</v>
      </c>
      <c r="K220" s="185">
        <v>50.324692921499988</v>
      </c>
      <c r="L220" s="188">
        <v>26.839836224799992</v>
      </c>
      <c r="M220" s="186">
        <v>29.665082143199992</v>
      </c>
      <c r="N220" s="189"/>
      <c r="O220" s="189"/>
      <c r="P220" s="120"/>
    </row>
    <row r="221" spans="2:16" x14ac:dyDescent="0.35">
      <c r="B221" s="130"/>
      <c r="C221" s="48" t="s">
        <v>256</v>
      </c>
      <c r="D221" s="185">
        <v>3500.05</v>
      </c>
      <c r="E221" s="52" t="s">
        <v>253</v>
      </c>
      <c r="F221" s="185">
        <v>48.817999999999984</v>
      </c>
      <c r="G221" s="185">
        <v>65.397999999999982</v>
      </c>
      <c r="H221" s="185">
        <v>7.0054830768999983</v>
      </c>
      <c r="I221" s="185">
        <v>5.1259632269999988</v>
      </c>
      <c r="J221" s="185">
        <v>3.7590396997999993</v>
      </c>
      <c r="K221" s="185">
        <v>65.235436921499982</v>
      </c>
      <c r="L221" s="188">
        <v>34.792233024799991</v>
      </c>
      <c r="M221" s="186">
        <v>38.454573343199982</v>
      </c>
      <c r="N221" s="189"/>
      <c r="O221" s="189"/>
      <c r="P221" s="120"/>
    </row>
    <row r="222" spans="2:16" x14ac:dyDescent="0.35">
      <c r="B222" s="130"/>
      <c r="C222" s="48" t="s">
        <v>257</v>
      </c>
      <c r="D222" s="185">
        <v>4750.05</v>
      </c>
      <c r="E222" s="52" t="s">
        <v>253</v>
      </c>
      <c r="F222" s="185">
        <v>48.817999999999984</v>
      </c>
      <c r="G222" s="185">
        <v>65.397999999999982</v>
      </c>
      <c r="H222" s="185">
        <v>9.5074055768999965</v>
      </c>
      <c r="I222" s="185">
        <v>6.9566382269999973</v>
      </c>
      <c r="J222" s="185">
        <v>5.1015346997999984</v>
      </c>
      <c r="K222" s="185">
        <v>88.533474421499989</v>
      </c>
      <c r="L222" s="188">
        <v>47.217853024799986</v>
      </c>
      <c r="M222" s="186">
        <v>52.188153343199986</v>
      </c>
      <c r="N222" s="189"/>
      <c r="O222" s="189"/>
      <c r="P222" s="120"/>
    </row>
    <row r="223" spans="2:16" x14ac:dyDescent="0.35">
      <c r="B223" s="130"/>
      <c r="C223" s="27"/>
      <c r="D223" s="27"/>
      <c r="E223" s="27"/>
      <c r="F223" s="27"/>
      <c r="G223" s="27"/>
      <c r="H223" s="27"/>
      <c r="I223" s="28"/>
      <c r="J223" s="28"/>
      <c r="K223" s="27"/>
      <c r="L223" s="182"/>
      <c r="M223" s="182"/>
      <c r="N223" s="182"/>
      <c r="O223" s="182"/>
      <c r="P223" s="120"/>
    </row>
    <row r="224" spans="2:16" x14ac:dyDescent="0.35">
      <c r="B224" s="130"/>
      <c r="C224" s="27" t="s">
        <v>258</v>
      </c>
      <c r="D224" s="27"/>
      <c r="E224" s="27"/>
      <c r="F224" s="27"/>
      <c r="G224" s="27" t="s">
        <v>259</v>
      </c>
      <c r="H224" s="27"/>
      <c r="I224" s="27" t="s">
        <v>260</v>
      </c>
      <c r="J224" s="28"/>
      <c r="K224" s="27"/>
      <c r="L224" s="182"/>
      <c r="M224" s="182"/>
      <c r="N224" s="182"/>
      <c r="O224" s="182"/>
      <c r="P224" s="120"/>
    </row>
    <row r="225" spans="2:16" ht="15" thickBot="1" x14ac:dyDescent="0.4">
      <c r="B225" s="130"/>
      <c r="C225" s="33" t="s">
        <v>261</v>
      </c>
      <c r="D225" s="40" t="s">
        <v>262</v>
      </c>
      <c r="E225" s="27"/>
      <c r="F225" s="27"/>
      <c r="G225" s="36" t="s">
        <v>263</v>
      </c>
      <c r="H225" s="27"/>
      <c r="I225" s="36" t="s">
        <v>264</v>
      </c>
      <c r="J225" s="28"/>
      <c r="K225" s="27"/>
      <c r="L225" s="182"/>
      <c r="M225" s="182"/>
      <c r="N225" s="182"/>
      <c r="O225" s="182"/>
      <c r="P225" s="120"/>
    </row>
    <row r="226" spans="2:16" ht="15" thickTop="1" x14ac:dyDescent="0.35">
      <c r="B226" s="130"/>
      <c r="C226" s="184" t="s">
        <v>196</v>
      </c>
      <c r="D226" s="205" t="s">
        <v>196</v>
      </c>
      <c r="E226" s="27"/>
      <c r="F226" s="27"/>
      <c r="G226" s="37" t="s">
        <v>197</v>
      </c>
      <c r="H226" s="27"/>
      <c r="I226" s="37" t="s">
        <v>197</v>
      </c>
      <c r="J226" s="28"/>
      <c r="K226" s="27"/>
      <c r="L226" s="182"/>
      <c r="M226" s="182"/>
      <c r="N226" s="182"/>
      <c r="O226" s="182"/>
      <c r="P226" s="120"/>
    </row>
    <row r="227" spans="2:16" x14ac:dyDescent="0.35">
      <c r="B227" s="130"/>
      <c r="C227" s="27"/>
      <c r="D227" s="27"/>
      <c r="E227" s="27"/>
      <c r="F227" s="27"/>
      <c r="G227" s="38" t="s">
        <v>203</v>
      </c>
      <c r="H227" s="27"/>
      <c r="I227" s="38" t="s">
        <v>203</v>
      </c>
      <c r="J227" s="28"/>
      <c r="K227" s="27"/>
      <c r="L227" s="182"/>
      <c r="M227" s="182"/>
      <c r="N227" s="182"/>
      <c r="O227" s="182"/>
      <c r="P227" s="120"/>
    </row>
    <row r="228" spans="2:16" x14ac:dyDescent="0.35">
      <c r="B228" s="130"/>
      <c r="C228" s="27"/>
      <c r="D228" s="27"/>
      <c r="E228" s="27"/>
      <c r="F228" s="27"/>
      <c r="G228" s="38" t="s">
        <v>204</v>
      </c>
      <c r="H228" s="27"/>
      <c r="I228" s="38" t="s">
        <v>204</v>
      </c>
      <c r="J228" s="182"/>
      <c r="K228" s="182"/>
      <c r="L228" s="182"/>
      <c r="M228" s="182"/>
      <c r="N228" s="182"/>
      <c r="O228" s="182"/>
      <c r="P228" s="120"/>
    </row>
    <row r="229" spans="2:16" x14ac:dyDescent="0.35">
      <c r="B229" s="130"/>
      <c r="C229" s="27" t="s">
        <v>265</v>
      </c>
      <c r="D229" s="27"/>
      <c r="E229" s="27"/>
      <c r="F229" s="27"/>
      <c r="G229" s="38" t="s">
        <v>205</v>
      </c>
      <c r="H229" s="29"/>
      <c r="I229" s="38" t="s">
        <v>205</v>
      </c>
      <c r="J229" s="182"/>
      <c r="K229" s="182"/>
      <c r="L229" s="182"/>
      <c r="M229" s="182"/>
      <c r="N229" s="182"/>
      <c r="O229" s="182"/>
      <c r="P229" s="120"/>
    </row>
    <row r="230" spans="2:16" ht="15" thickBot="1" x14ac:dyDescent="0.4">
      <c r="B230" s="130"/>
      <c r="C230" s="32" t="s">
        <v>266</v>
      </c>
      <c r="D230" s="31" t="s">
        <v>267</v>
      </c>
      <c r="E230" s="42" t="s">
        <v>268</v>
      </c>
      <c r="F230" s="27"/>
      <c r="G230" s="38" t="s">
        <v>206</v>
      </c>
      <c r="H230" s="27"/>
      <c r="I230" s="38" t="s">
        <v>206</v>
      </c>
      <c r="J230" s="182"/>
      <c r="K230" s="182"/>
      <c r="L230" s="182"/>
      <c r="M230" s="182"/>
      <c r="N230" s="182"/>
      <c r="O230" s="182"/>
      <c r="P230" s="120"/>
    </row>
    <row r="231" spans="2:16" ht="15" thickTop="1" x14ac:dyDescent="0.35">
      <c r="B231" s="130"/>
      <c r="C231" s="43" t="s">
        <v>269</v>
      </c>
      <c r="D231" s="44" t="s">
        <v>199</v>
      </c>
      <c r="E231" s="41" t="s">
        <v>270</v>
      </c>
      <c r="F231" s="27"/>
      <c r="G231" s="38" t="s">
        <v>207</v>
      </c>
      <c r="H231" s="27"/>
      <c r="I231" s="38" t="s">
        <v>207</v>
      </c>
      <c r="J231" s="182"/>
      <c r="K231" s="182"/>
      <c r="L231" s="182"/>
      <c r="M231" s="182"/>
      <c r="N231" s="182"/>
      <c r="O231" s="182"/>
      <c r="P231" s="120"/>
    </row>
    <row r="232" spans="2:16" x14ac:dyDescent="0.35">
      <c r="B232" s="130"/>
      <c r="C232" s="43" t="s">
        <v>271</v>
      </c>
      <c r="D232" s="44" t="s">
        <v>200</v>
      </c>
      <c r="E232" s="41" t="s">
        <v>272</v>
      </c>
      <c r="F232" s="27"/>
      <c r="G232" s="38" t="s">
        <v>273</v>
      </c>
      <c r="H232" s="27"/>
      <c r="I232" s="38" t="s">
        <v>208</v>
      </c>
      <c r="J232" s="182"/>
      <c r="K232" s="182"/>
      <c r="L232" s="182"/>
      <c r="M232" s="182"/>
      <c r="N232" s="182"/>
      <c r="O232" s="182"/>
      <c r="P232" s="120"/>
    </row>
    <row r="233" spans="2:16" x14ac:dyDescent="0.35">
      <c r="B233" s="130"/>
      <c r="C233" s="43" t="s">
        <v>274</v>
      </c>
      <c r="D233" s="44" t="s">
        <v>201</v>
      </c>
      <c r="E233" s="41" t="s">
        <v>275</v>
      </c>
      <c r="F233" s="27"/>
      <c r="G233" s="38" t="s">
        <v>208</v>
      </c>
      <c r="H233" s="27"/>
      <c r="I233" s="38" t="s">
        <v>209</v>
      </c>
      <c r="J233" s="182"/>
      <c r="K233" s="182"/>
      <c r="L233" s="182"/>
      <c r="M233" s="182"/>
      <c r="N233" s="182"/>
      <c r="O233" s="182"/>
      <c r="P233" s="120"/>
    </row>
    <row r="234" spans="2:16" x14ac:dyDescent="0.35">
      <c r="B234" s="130"/>
      <c r="C234" s="34" t="s">
        <v>276</v>
      </c>
      <c r="D234" s="44" t="s">
        <v>200</v>
      </c>
      <c r="E234" s="41" t="s">
        <v>272</v>
      </c>
      <c r="F234" s="27"/>
      <c r="G234" s="38" t="s">
        <v>209</v>
      </c>
      <c r="H234" s="27"/>
      <c r="I234" s="39" t="s">
        <v>211</v>
      </c>
      <c r="J234" s="182"/>
      <c r="K234" s="182"/>
      <c r="L234" s="182"/>
      <c r="M234" s="182"/>
      <c r="N234" s="182"/>
      <c r="O234" s="182"/>
      <c r="P234" s="120"/>
    </row>
    <row r="235" spans="2:16" x14ac:dyDescent="0.35">
      <c r="B235" s="130"/>
      <c r="C235" s="34" t="s">
        <v>277</v>
      </c>
      <c r="D235" s="44" t="s">
        <v>200</v>
      </c>
      <c r="E235" s="41" t="s">
        <v>272</v>
      </c>
      <c r="F235" s="27"/>
      <c r="G235" s="39" t="s">
        <v>211</v>
      </c>
      <c r="H235" s="27"/>
      <c r="I235" s="39" t="s">
        <v>213</v>
      </c>
      <c r="J235" s="182"/>
      <c r="K235" s="182"/>
      <c r="L235" s="182"/>
      <c r="M235" s="182"/>
      <c r="N235" s="182"/>
      <c r="O235" s="182"/>
      <c r="P235" s="120"/>
    </row>
    <row r="236" spans="2:16" x14ac:dyDescent="0.35">
      <c r="B236" s="130"/>
      <c r="C236" s="43" t="s">
        <v>278</v>
      </c>
      <c r="D236" s="44" t="s">
        <v>200</v>
      </c>
      <c r="E236" s="38" t="s">
        <v>272</v>
      </c>
      <c r="F236" s="27"/>
      <c r="G236" s="39" t="s">
        <v>213</v>
      </c>
      <c r="H236" s="27"/>
      <c r="I236" s="39" t="s">
        <v>214</v>
      </c>
      <c r="J236" s="182"/>
      <c r="K236" s="182"/>
      <c r="L236" s="182"/>
      <c r="M236" s="182"/>
      <c r="N236" s="182"/>
      <c r="O236" s="182"/>
      <c r="P236" s="120"/>
    </row>
    <row r="237" spans="2:16" x14ac:dyDescent="0.35">
      <c r="B237" s="130"/>
      <c r="C237" s="27"/>
      <c r="D237" s="28"/>
      <c r="E237" s="27"/>
      <c r="F237" s="27"/>
      <c r="G237" s="39" t="s">
        <v>214</v>
      </c>
      <c r="H237" s="27"/>
      <c r="I237" s="39" t="s">
        <v>215</v>
      </c>
      <c r="J237" s="182"/>
      <c r="K237" s="182"/>
      <c r="L237" s="182"/>
      <c r="M237" s="182"/>
      <c r="N237" s="182"/>
      <c r="O237" s="182"/>
      <c r="P237" s="120"/>
    </row>
    <row r="238" spans="2:16" x14ac:dyDescent="0.35">
      <c r="B238" s="130"/>
      <c r="C238" s="27" t="s">
        <v>279</v>
      </c>
      <c r="D238" s="28"/>
      <c r="E238" s="27"/>
      <c r="F238" s="27"/>
      <c r="G238" s="39" t="s">
        <v>215</v>
      </c>
      <c r="H238" s="27"/>
      <c r="I238" s="38" t="s">
        <v>216</v>
      </c>
      <c r="J238" s="182"/>
      <c r="K238" s="182"/>
      <c r="L238" s="182"/>
      <c r="M238" s="182"/>
      <c r="N238" s="182"/>
      <c r="O238" s="182"/>
      <c r="P238" s="120"/>
    </row>
    <row r="239" spans="2:16" ht="15" thickBot="1" x14ac:dyDescent="0.4">
      <c r="B239" s="130"/>
      <c r="C239" s="190" t="s">
        <v>185</v>
      </c>
      <c r="D239" s="36" t="s">
        <v>262</v>
      </c>
      <c r="E239" s="27"/>
      <c r="F239" s="27"/>
      <c r="G239" s="38" t="s">
        <v>216</v>
      </c>
      <c r="H239" s="27"/>
      <c r="I239" s="38" t="s">
        <v>280</v>
      </c>
      <c r="J239" s="182"/>
      <c r="K239" s="182"/>
      <c r="L239" s="182"/>
      <c r="M239" s="182"/>
      <c r="N239" s="182"/>
      <c r="O239" s="182"/>
      <c r="P239" s="120"/>
    </row>
    <row r="240" spans="2:16" ht="15" thickTop="1" x14ac:dyDescent="0.35">
      <c r="B240" s="130"/>
      <c r="C240" s="34" t="s">
        <v>281</v>
      </c>
      <c r="D240" s="35" t="b">
        <v>1</v>
      </c>
      <c r="E240" s="27"/>
      <c r="F240" s="27"/>
      <c r="G240" s="38" t="s">
        <v>280</v>
      </c>
      <c r="H240" s="27"/>
      <c r="I240" s="38" t="s">
        <v>218</v>
      </c>
      <c r="J240" s="182"/>
      <c r="K240" s="182"/>
      <c r="L240" s="182"/>
      <c r="M240" s="182"/>
      <c r="N240" s="182"/>
      <c r="O240" s="182"/>
      <c r="P240" s="120"/>
    </row>
    <row r="241" spans="2:16" x14ac:dyDescent="0.35">
      <c r="B241" s="130"/>
      <c r="C241" s="34" t="s">
        <v>282</v>
      </c>
      <c r="D241" s="35" t="b">
        <v>0</v>
      </c>
      <c r="E241" s="27"/>
      <c r="F241" s="27"/>
      <c r="G241" s="38" t="s">
        <v>218</v>
      </c>
      <c r="H241" s="27"/>
      <c r="I241" s="38" t="s">
        <v>212</v>
      </c>
      <c r="J241" s="182"/>
      <c r="K241" s="182"/>
      <c r="L241" s="182"/>
      <c r="M241" s="182"/>
      <c r="N241" s="182"/>
      <c r="O241" s="182"/>
      <c r="P241" s="120"/>
    </row>
    <row r="242" spans="2:16" x14ac:dyDescent="0.35">
      <c r="B242" s="130"/>
      <c r="C242" s="27"/>
      <c r="D242" s="28"/>
      <c r="E242" s="28"/>
      <c r="F242" s="27"/>
      <c r="G242" s="30" t="s">
        <v>212</v>
      </c>
      <c r="H242" s="27"/>
      <c r="I242" s="1"/>
      <c r="J242" s="1"/>
      <c r="K242" s="1"/>
      <c r="L242" s="1"/>
      <c r="M242" s="1"/>
      <c r="N242" s="1"/>
      <c r="O242" s="1"/>
      <c r="P242" s="120"/>
    </row>
    <row r="243" spans="2:16" ht="15" thickBot="1" x14ac:dyDescent="0.4">
      <c r="B243" s="146"/>
      <c r="C243" s="173"/>
      <c r="D243" s="174"/>
      <c r="E243" s="174"/>
      <c r="F243" s="173"/>
      <c r="G243" s="133"/>
      <c r="H243" s="175"/>
      <c r="I243" s="133"/>
      <c r="J243" s="133"/>
      <c r="K243" s="133"/>
      <c r="L243" s="133"/>
      <c r="M243" s="133"/>
      <c r="N243" s="133"/>
      <c r="O243" s="133"/>
      <c r="P243" s="134"/>
    </row>
    <row r="244" spans="2:16" ht="15" thickTop="1" x14ac:dyDescent="0.35">
      <c r="F244" s="38"/>
      <c r="H244" s="30"/>
    </row>
    <row r="245" spans="2:16" x14ac:dyDescent="0.35">
      <c r="F245" s="38"/>
      <c r="G245" s="38"/>
      <c r="H245" s="38"/>
      <c r="I245" s="35"/>
      <c r="J245" s="35"/>
      <c r="K245" s="30"/>
    </row>
    <row r="246" spans="2:16" x14ac:dyDescent="0.35">
      <c r="F246" s="38"/>
      <c r="G246" s="38"/>
      <c r="H246" s="38"/>
      <c r="I246" s="35"/>
      <c r="J246" s="35"/>
      <c r="K246" s="30"/>
    </row>
    <row r="247" spans="2:16" x14ac:dyDescent="0.35">
      <c r="F247" s="38"/>
      <c r="G247" s="38"/>
      <c r="H247" s="38"/>
      <c r="I247" s="35"/>
      <c r="J247" s="35"/>
      <c r="K247" s="30"/>
    </row>
    <row r="248" spans="2:16" x14ac:dyDescent="0.35">
      <c r="F248" s="38"/>
      <c r="G248" s="38"/>
      <c r="H248" s="38"/>
      <c r="I248" s="35"/>
      <c r="J248" s="35"/>
      <c r="K248" s="30"/>
    </row>
    <row r="249" spans="2:16" x14ac:dyDescent="0.35">
      <c r="F249" s="38"/>
      <c r="G249" s="38"/>
      <c r="H249" s="38"/>
      <c r="I249" s="35"/>
      <c r="J249" s="35"/>
      <c r="K249" s="30"/>
    </row>
    <row r="250" spans="2:16" x14ac:dyDescent="0.35">
      <c r="F250" s="38"/>
      <c r="G250" s="38"/>
      <c r="H250" s="38"/>
      <c r="I250" s="35"/>
      <c r="J250" s="35"/>
      <c r="K250" s="30"/>
    </row>
    <row r="251" spans="2:16" x14ac:dyDescent="0.35">
      <c r="F251" s="38"/>
      <c r="G251" s="38"/>
      <c r="H251" s="38"/>
      <c r="I251" s="35"/>
      <c r="J251" s="35"/>
      <c r="K251" s="30"/>
    </row>
    <row r="252" spans="2:16" x14ac:dyDescent="0.35">
      <c r="F252" s="38"/>
      <c r="G252" s="38"/>
      <c r="H252" s="38"/>
      <c r="I252" s="35"/>
      <c r="J252" s="35"/>
      <c r="K252" s="30"/>
    </row>
    <row r="253" spans="2:16" x14ac:dyDescent="0.35">
      <c r="F253" s="38"/>
      <c r="G253" s="38"/>
      <c r="H253" s="38"/>
      <c r="I253" s="35"/>
      <c r="J253" s="35"/>
      <c r="K253" s="30"/>
    </row>
    <row r="254" spans="2:16" x14ac:dyDescent="0.35">
      <c r="F254" s="38"/>
      <c r="G254" s="38"/>
      <c r="H254" s="38"/>
      <c r="I254" s="35"/>
      <c r="J254" s="35"/>
      <c r="K254" s="30"/>
    </row>
    <row r="255" spans="2:16" x14ac:dyDescent="0.35">
      <c r="F255" s="38"/>
      <c r="G255" s="38"/>
      <c r="H255" s="38"/>
      <c r="I255" s="35"/>
      <c r="J255" s="35"/>
      <c r="K255" s="30"/>
    </row>
    <row r="256" spans="2:16" x14ac:dyDescent="0.35">
      <c r="F256" s="38"/>
      <c r="G256" s="38"/>
      <c r="H256" s="38"/>
      <c r="I256" s="35"/>
      <c r="J256" s="35"/>
      <c r="K256" s="30"/>
    </row>
    <row r="257" spans="6:16" x14ac:dyDescent="0.35">
      <c r="F257" s="38"/>
      <c r="G257" s="38"/>
      <c r="H257" s="38"/>
      <c r="I257" s="35"/>
      <c r="J257" s="35"/>
      <c r="K257" s="30"/>
    </row>
    <row r="258" spans="6:16" x14ac:dyDescent="0.35">
      <c r="F258" s="38"/>
      <c r="G258" s="38"/>
      <c r="H258" s="38"/>
      <c r="I258" s="35"/>
      <c r="J258" s="35"/>
      <c r="K258" s="30"/>
    </row>
    <row r="259" spans="6:16" x14ac:dyDescent="0.35">
      <c r="F259" s="38"/>
      <c r="G259" s="38"/>
      <c r="H259" s="38"/>
      <c r="I259" s="35"/>
      <c r="J259" s="35"/>
      <c r="K259" s="30"/>
    </row>
    <row r="260" spans="6:16" x14ac:dyDescent="0.35">
      <c r="F260" s="38"/>
      <c r="G260" s="38"/>
      <c r="H260" s="38"/>
      <c r="I260" s="35"/>
      <c r="J260" s="35"/>
      <c r="K260" s="30"/>
    </row>
    <row r="261" spans="6:16" x14ac:dyDescent="0.35">
      <c r="F261" s="38"/>
      <c r="G261" s="38"/>
      <c r="H261" s="38"/>
      <c r="I261" s="35"/>
      <c r="J261" s="35"/>
      <c r="K261" s="30"/>
      <c r="L261" s="30"/>
      <c r="M261" s="30"/>
      <c r="N261" s="30"/>
      <c r="O261" s="30"/>
      <c r="P261" s="30"/>
    </row>
  </sheetData>
  <sheetProtection algorithmName="SHA-512" hashValue="zrLftpgxpSmmLapaUBiDTv5S+nwLotnqXjtK6a0Ep3Bg30WOazpxumln+gQjU4AmTVdy40gArDTsbKDmRodvhg==" saltValue="dRCpxfEn5t67ILCjXcOJEw==" spinCount="100000" sheet="1" objects="1" scenarios="1"/>
  <mergeCells count="1">
    <mergeCell ref="B2:P4"/>
  </mergeCells>
  <phoneticPr fontId="30" type="noConversion"/>
  <dataValidations count="1">
    <dataValidation allowBlank="1" showInputMessage="1" showErrorMessage="1" prompt="This value is dependent on the rainfall volume." sqref="I194:J196 I190:J190" xr:uid="{5683ECF9-B236-43B7-B2FD-F42CED51FC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709A144B6CB1247B0EB17D39170EEBB" ma:contentTypeVersion="13" ma:contentTypeDescription="Create a new document." ma:contentTypeScope="" ma:versionID="67ecd45f770d3e359dffe841dc5eb5e3">
  <xsd:schema xmlns:xsd="http://www.w3.org/2001/XMLSchema" xmlns:xs="http://www.w3.org/2001/XMLSchema" xmlns:p="http://schemas.microsoft.com/office/2006/metadata/properties" xmlns:ns2="662745e8-e224-48e8-a2e3-254862b8c2f5" xmlns:ns3="50608f39-3744-4f2b-8ddf-6077ea9dcf84" xmlns:ns4="41b1b97e-58d0-4f82-aacc-4a7d6fa43521" targetNamespace="http://schemas.microsoft.com/office/2006/metadata/properties" ma:root="true" ma:fieldsID="42e099b84febb67c73aa22ba39b9046a" ns2:_="" ns3:_="" ns4:_="">
    <xsd:import namespace="662745e8-e224-48e8-a2e3-254862b8c2f5"/>
    <xsd:import namespace="50608f39-3744-4f2b-8ddf-6077ea9dcf84"/>
    <xsd:import namespace="41b1b97e-58d0-4f82-aacc-4a7d6fa43521"/>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19ba13cf-7d0b-4653-bdd4-d6cd8989d710}" ma:internalName="TaxCatchAll" ma:showField="CatchAllData"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19ba13cf-7d0b-4653-bdd4-d6cd8989d710}" ma:internalName="TaxCatchAllLabel" ma:readOnly="true" ma:showField="CatchAllDataLabel" ma:web="41b1b97e-58d0-4f82-aacc-4a7d6fa43521">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atural England Programmes" ma:internalName="Team">
      <xsd:simpleType>
        <xsd:restriction base="dms:Text"/>
      </xsd:simpleType>
    </xsd:element>
    <xsd:element name="Topic" ma:index="20" nillable="true" ma:displayName="Topic" ma:default="Strategic solution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08f39-3744-4f2b-8ddf-6077ea9dcf84"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AutoKeyPoints" ma:index="29" nillable="true" ma:displayName="MediaServiceAutoKeyPoints" ma:hidden="true" ma:internalName="MediaServiceAutoKeyPoints" ma:readOnly="true">
      <xsd:simpleType>
        <xsd:restriction base="dms:Note"/>
      </xsd:simpleType>
    </xsd:element>
    <xsd:element name="MediaServiceKeyPoints" ma:index="30" nillable="true" ma:displayName="KeyPoints" ma:internalName="MediaServiceKeyPoints" ma:readOnly="true">
      <xsd:simpleType>
        <xsd:restriction base="dms:Note">
          <xsd:maxLength value="255"/>
        </xsd:restriction>
      </xsd:simpleType>
    </xsd:element>
    <xsd:element name="MediaServiceDateTaken" ma:index="31" nillable="true" ma:displayName="MediaServiceDateTaken" ma:hidden="true" ma:internalName="MediaServiceDateTaken" ma:readOnly="true">
      <xsd:simpleType>
        <xsd:restriction base="dms:Text"/>
      </xsd:simpleType>
    </xsd:element>
    <xsd:element name="MediaLengthInSeconds" ma:index="32" nillable="true" ma:displayName="Length (seconds)" ma:internalName="MediaLengthInSeconds" ma:readOnly="true">
      <xsd:simpleType>
        <xsd:restriction base="dms:Unknown"/>
      </xsd:simpleType>
    </xsd:element>
    <xsd:element name="MediaServiceAutoTags" ma:index="33"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b1b97e-58d0-4f82-aacc-4a7d6fa43521" elementFormDefault="qualified">
    <xsd:import namespace="http://schemas.microsoft.com/office/2006/documentManagement/types"/>
    <xsd:import namespace="http://schemas.microsoft.com/office/infopath/2007/PartnerControls"/>
    <xsd:element name="SharedWithUsers" ma:index="2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FAF2089E-01B7-4919-811D-A2333806BD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50608f39-3744-4f2b-8ddf-6077ea9dcf84"/>
    <ds:schemaRef ds:uri="41b1b97e-58d0-4f82-aacc-4a7d6fa43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83C097-BF84-40B2-8EF9-A471354AFFF3}">
  <ds:schemaRefs>
    <ds:schemaRef ds:uri="http://schemas.microsoft.com/office/2006/metadata/properties"/>
    <ds:schemaRef ds:uri="http://schemas.microsoft.com/office/infopath/2007/PartnerControls"/>
    <ds:schemaRef ds:uri="662745e8-e224-48e8-a2e3-254862b8c2f5"/>
  </ds:schemaRefs>
</ds:datastoreItem>
</file>

<file path=customXml/itemProps3.xml><?xml version="1.0" encoding="utf-8"?>
<ds:datastoreItem xmlns:ds="http://schemas.openxmlformats.org/officeDocument/2006/customXml" ds:itemID="{2153094C-8E75-44E1-B797-AAB7D97C2D39}">
  <ds:schemaRefs>
    <ds:schemaRef ds:uri="http://schemas.microsoft.com/sharepoint/v3/contenttype/forms"/>
  </ds:schemaRefs>
</ds:datastoreItem>
</file>

<file path=customXml/itemProps4.xml><?xml version="1.0" encoding="utf-8"?>
<ds:datastoreItem xmlns:ds="http://schemas.openxmlformats.org/officeDocument/2006/customXml" ds:itemID="{864D51E9-2735-44C9-BB31-F6338065B556}">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Intro</vt:lpstr>
      <vt:lpstr>Background</vt:lpstr>
      <vt:lpstr>River Avon SAC</vt:lpstr>
      <vt:lpstr>Instructions</vt:lpstr>
      <vt:lpstr>Development site details</vt:lpstr>
      <vt:lpstr>Stage 1</vt:lpstr>
      <vt:lpstr>Stage 2</vt:lpstr>
      <vt:lpstr>Stage 3</vt:lpstr>
      <vt:lpstr>Stage 4</vt:lpstr>
      <vt:lpstr>Stage 4 (2)</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Maria Court</cp:lastModifiedBy>
  <cp:revision/>
  <dcterms:created xsi:type="dcterms:W3CDTF">2021-10-14T13:24:34Z</dcterms:created>
  <dcterms:modified xsi:type="dcterms:W3CDTF">2022-05-23T14:11:45Z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0x010100A5BF1C78D9F64B679A5EBDE1C6598EBC01001709A144B6CB1247B0EB17D39170EEBB</vt:lpwstr>
  </property>
  <property fmtid="{D5CDD505-2E9C-101B-9397-08002B2CF9AE}" pid="3" name="InformationType">
    <vt:lpwstr/>
  </property>
  <property fmtid="{D5CDD505-2E9C-101B-9397-08002B2CF9AE}" pid="4" name="Distribution">
    <vt:lpwstr>9;#Internal Defra Group|0867f7b3-e76e-40ca-bb1f-5ba341a49230</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ies>
</file>